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unzi\Desktop\Doc per Compliance\CV per incarichi da marzo2019_rev\"/>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20730" windowHeight="1170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PROFESSIONALI'!#REF!</definedName>
    <definedName name="ep2_attivita">'B. ESP. PROFESSIONALI'!$D$33</definedName>
    <definedName name="ep2_comune">'B. ESP. PROFESSIONALI'!$D$31</definedName>
    <definedName name="ep2_denominazione">'B. ESP. PROFESSIONALI'!$D$30</definedName>
    <definedName name="ep2_dimensione">'B. ESP. PROFESSIONALI'!$D$29</definedName>
    <definedName name="ep2_fine">'B. ESP. PROFESSIONALI'!$D$25</definedName>
    <definedName name="ep2_inizio">'B. ESP. PROFESSIONALI'!$D$24</definedName>
    <definedName name="ep2_provincia">'B. ESP. PROFESSIONALI'!$D$32</definedName>
    <definedName name="ep2_resp">'B. ESP. PROFESSIONALI'!$D$34</definedName>
    <definedName name="ep2_rife">'B. ESP. PROFESSIONALI'!#REF!</definedName>
    <definedName name="ep2_settore">'B. ESP. PROFESSIONALI'!#REF!</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<sst xmlns="http://schemas.openxmlformats.org/spreadsheetml/2006/main" count="1058" uniqueCount="784">
  <si>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</si>
  <si>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</si>
  <si>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</si>
  <si>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</si>
  <si>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</si>
  <si>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</si>
  <si>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</si>
  <si>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</si>
  <si>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</si>
  <si>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</si>
  <si>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</si>
  <si>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</si>
  <si>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</si>
  <si>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</si>
  <si>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</si>
  <si>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</si>
  <si>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</si>
  <si>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</si>
  <si>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</si>
  <si>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</si>
  <si>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</si>
  <si>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</si>
  <si>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</si>
  <si>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</si>
  <si>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</si>
  <si>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</si>
  <si>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</si>
  <si>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</si>
  <si>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</si>
  <si>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</si>
  <si>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</si>
  <si>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</si>
  <si>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</si>
  <si>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</si>
  <si>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</si>
  <si>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</si>
  <si>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</si>
  <si>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</si>
  <si>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</si>
  <si>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</si>
  <si>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</si>
  <si>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</si>
  <si>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</si>
  <si>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</si>
  <si>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</si>
  <si>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</si>
  <si>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</si>
  <si>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</si>
  <si>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</si>
  <si>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</si>
  <si>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</si>
  <si>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</si>
  <si>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</si>
  <si>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</si>
  <si>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</si>
  <si>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</si>
  <si>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</si>
  <si>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</si>
  <si>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</si>
  <si>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</si>
  <si>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</si>
  <si>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</si>
  <si>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</si>
  <si>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</si>
  <si>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</si>
  <si>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</si>
  <si>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</si>
  <si>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</si>
  <si>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</si>
  <si>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</si>
  <si>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</si>
  <si>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</si>
  <si>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</si>
  <si>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</si>
  <si>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</si>
  <si>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</si>
  <si>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</si>
  <si>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</si>
  <si>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</si>
  <si>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</si>
  <si>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</si>
  <si>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</si>
  <si>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</si>
  <si>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</si>
  <si>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</si>
  <si>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</si>
  <si>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</si>
  <si>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</si>
  <si>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</si>
  <si>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</si>
  <si>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</si>
  <si>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</si>
  <si>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</si>
  <si>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</si>
  <si>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</si>
  <si>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</si>
  <si>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</si>
  <si>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</si>
  <si>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</si>
  <si>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</si>
  <si>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</si>
  <si>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</si>
  <si>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</si>
  <si>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</si>
  <si>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</si>
  <si>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</si>
  <si>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</si>
  <si>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</si>
  <si>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</si>
  <si>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</si>
  <si>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</si>
  <si>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</si>
  <si>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</si>
  <si>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</si>
  <si>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</si>
  <si>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</si>
  <si>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</si>
  <si>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</si>
  <si>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</si>
  <si>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</si>
  <si>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</si>
  <si>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</si>
  <si>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</si>
  <si>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</si>
  <si>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</si>
  <si>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</si>
  <si>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</si>
  <si>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</si>
  <si>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</si>
  <si>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</si>
  <si>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</si>
  <si>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</si>
  <si>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</si>
  <si>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</si>
  <si>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</si>
  <si>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</si>
  <si>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</si>
  <si>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</si>
  <si>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</si>
  <si>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</si>
  <si>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</si>
  <si>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</si>
  <si>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</si>
  <si>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</si>
  <si>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</si>
  <si>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</si>
  <si>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</si>
  <si>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</si>
  <si>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</si>
  <si>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</si>
  <si>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</si>
  <si>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</si>
  <si>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</si>
  <si>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</si>
  <si>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</si>
  <si>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</si>
  <si>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</si>
  <si>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</si>
  <si>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</si>
  <si>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</si>
  <si>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</si>
  <si>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</si>
  <si>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</si>
  <si>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</si>
  <si>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</si>
  <si>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</si>
  <si>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</si>
  <si>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</si>
  <si>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</si>
  <si>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</si>
  <si>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</si>
  <si>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</si>
  <si>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</si>
  <si>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</si>
  <si>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</si>
  <si>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</si>
  <si>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</si>
  <si>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</si>
  <si>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</si>
  <si>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</si>
  <si>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</si>
  <si>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</si>
  <si>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</si>
  <si>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</si>
  <si>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</si>
  <si>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</si>
  <si>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</si>
  <si>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</si>
  <si>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</si>
  <si>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</si>
  <si>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</si>
  <si>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</si>
  <si>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</si>
  <si>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</si>
  <si>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</si>
  <si>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</si>
  <si>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</si>
  <si>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</si>
  <si>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</si>
  <si>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</si>
  <si>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</si>
  <si>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</si>
  <si>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</si>
  <si>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</si>
  <si>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</si>
  <si>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</si>
  <si>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</si>
  <si>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</si>
  <si>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</si>
  <si>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</si>
  <si>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</si>
  <si>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</si>
  <si>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</si>
  <si>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</si>
  <si>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</si>
  <si>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</si>
  <si>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</si>
  <si>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</si>
  <si>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</si>
  <si>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</si>
  <si>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</si>
  <si>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</si>
  <si>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</si>
  <si>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</si>
  <si>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</si>
  <si>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</si>
  <si>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</si>
  <si>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</si>
  <si>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</si>
  <si>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</si>
  <si>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</si>
  <si>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</si>
  <si>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</si>
  <si>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</si>
  <si>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</si>
  <si>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</si>
  <si>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</si>
  <si>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</si>
  <si>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</si>
  <si>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</si>
  <si>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</si>
  <si>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</si>
  <si>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</si>
  <si>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</si>
  <si>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</si>
  <si>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</si>
  <si>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</si>
  <si>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</si>
  <si>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</si>
  <si>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</si>
  <si>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</si>
  <si>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</si>
  <si>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</si>
  <si>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</si>
  <si>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</si>
  <si>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</si>
  <si>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</si>
  <si>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</si>
  <si>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</si>
  <si>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</si>
  <si>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</si>
  <si>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</si>
  <si>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</si>
  <si>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</si>
  <si>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</si>
  <si>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</si>
  <si>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</si>
  <si>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</si>
  <si>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</si>
  <si>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</si>
  <si>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</si>
  <si>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</si>
  <si>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</si>
  <si>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</si>
  <si>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</si>
  <si>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</si>
  <si>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</si>
  <si>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</si>
  <si>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</si>
  <si>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</si>
  <si>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</si>
  <si>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</si>
  <si>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</si>
  <si>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</si>
  <si>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</si>
  <si>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</si>
  <si>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</si>
  <si>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</si>
  <si>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</si>
  <si>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</si>
  <si>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</si>
  <si>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</si>
  <si>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</si>
  <si>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</si>
  <si>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</si>
  <si>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</si>
  <si>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</si>
  <si>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</si>
  <si>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</si>
  <si>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</si>
  <si>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</si>
  <si>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</si>
  <si>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</si>
  <si>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</si>
  <si>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</si>
  <si>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</si>
  <si>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</si>
  <si>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</si>
  <si>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</si>
  <si>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</si>
  <si>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</si>
  <si>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</si>
  <si>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</si>
  <si>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</si>
  <si>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</si>
  <si>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</si>
  <si>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</si>
  <si>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</si>
  <si>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</si>
  <si>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</si>
  <si>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</si>
  <si>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</si>
  <si>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</si>
  <si>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</si>
  <si>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</si>
  <si>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</si>
  <si>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</si>
  <si>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</si>
  <si>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</si>
  <si>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</si>
  <si>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</si>
  <si>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</si>
  <si>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</si>
  <si>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</si>
  <si>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</si>
  <si>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</si>
  <si>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</si>
  <si>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</si>
  <si>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</si>
  <si>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</si>
  <si>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</si>
  <si>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</si>
  <si>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</si>
  <si>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</si>
  <si>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</si>
  <si>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</si>
  <si>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</si>
  <si>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</si>
  <si>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</si>
  <si>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</si>
  <si>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</si>
  <si>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</si>
  <si>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</si>
  <si>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</si>
  <si>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</si>
  <si>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</si>
  <si>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</si>
  <si>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</si>
  <si>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</si>
  <si>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</si>
  <si>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</si>
  <si>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</si>
  <si>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</si>
  <si>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</si>
  <si>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</si>
  <si>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</si>
  <si>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</si>
  <si>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</si>
  <si>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</si>
  <si>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</si>
  <si>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</si>
  <si>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</si>
  <si>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</si>
  <si>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</si>
  <si>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</si>
  <si>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</si>
  <si>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</si>
  <si>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</si>
  <si>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</si>
  <si>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</si>
  <si>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</si>
  <si>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</si>
  <si>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</si>
  <si>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</si>
  <si>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</si>
  <si>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</si>
  <si>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</si>
  <si>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</si>
  <si>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</si>
  <si>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</si>
  <si>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</si>
  <si>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</si>
  <si>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</si>
  <si>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</si>
  <si>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</si>
  <si>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</si>
  <si>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</si>
  <si>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</si>
  <si>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</si>
  <si>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</si>
  <si>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</si>
  <si>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</si>
  <si>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</si>
  <si>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</si>
  <si>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</si>
  <si>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</si>
  <si>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</si>
  <si>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</si>
  <si>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</si>
  <si>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</si>
  <si>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</si>
  <si>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</si>
  <si>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</si>
  <si>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</si>
  <si>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</si>
  <si>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</si>
  <si>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</si>
  <si>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</si>
  <si>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</si>
  <si>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</si>
  <si>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</si>
  <si>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</si>
  <si>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</si>
  <si>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</si>
  <si>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</si>
  <si>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</si>
  <si>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</si>
  <si>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</si>
  <si>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</si>
  <si>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</si>
  <si>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</si>
  <si>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</si>
  <si>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</si>
  <si>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</si>
  <si>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</si>
  <si>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</si>
  <si>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</si>
  <si>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</si>
  <si>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</si>
  <si>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</si>
  <si>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</si>
  <si>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</si>
  <si>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</si>
  <si>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</si>
  <si>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</si>
  <si>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</si>
  <si>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</si>
  <si>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</si>
  <si>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</si>
  <si>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</si>
  <si>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</si>
  <si>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</si>
  <si>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</si>
  <si>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</si>
  <si>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</si>
  <si>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</si>
  <si>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</si>
  <si>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</si>
  <si>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</si>
  <si>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</si>
  <si>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</si>
  <si>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</si>
  <si>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</si>
  <si>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</si>
  <si>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</si>
  <si>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</si>
  <si>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</si>
  <si>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</si>
  <si>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</si>
  <si>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</si>
  <si>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</si>
  <si>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</si>
  <si>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</si>
  <si>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</si>
  <si>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</si>
  <si>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</si>
  <si>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</si>
  <si>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</si>
  <si>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</si>
  <si>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</si>
  <si>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</si>
  <si>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</si>
  <si>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</si>
  <si>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</si>
  <si>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</si>
  <si>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</si>
  <si>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</si>
  <si>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</si>
  <si>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</si>
  <si>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</si>
  <si>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</si>
  <si>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</si>
  <si>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</si>
  <si>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</si>
  <si>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</si>
  <si>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</si>
  <si>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</si>
  <si>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</si>
  <si>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</si>
  <si>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</si>
  <si>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</si>
  <si>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</si>
  <si>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</si>
  <si>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</si>
  <si>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</si>
  <si>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</si>
  <si>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</si>
  <si>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</si>
  <si>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</si>
  <si>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</si>
  <si>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</si>
  <si>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</si>
  <si>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</si>
  <si>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</si>
  <si>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</si>
  <si>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</si>
  <si>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</si>
  <si>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</si>
  <si>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</si>
  <si>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</si>
  <si>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</si>
  <si>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</si>
  <si>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</si>
  <si>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</si>
  <si>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</si>
  <si>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</si>
  <si>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</si>
  <si>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</si>
  <si>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</si>
  <si>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</si>
  <si>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</si>
  <si>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</si>
  <si>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</si>
  <si>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</si>
  <si>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</si>
  <si>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</si>
  <si>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</si>
  <si>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</si>
  <si>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</si>
  <si>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</si>
  <si>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</si>
  <si>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</si>
  <si>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</si>
  <si>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</si>
  <si>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</si>
  <si>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</si>
  <si>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</si>
  <si>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</si>
  <si>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</si>
  <si>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</si>
  <si>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</si>
  <si>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</si>
  <si>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</si>
  <si>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</si>
  <si>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</si>
  <si>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</si>
  <si>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</si>
  <si>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</si>
  <si>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</si>
  <si>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</si>
  <si>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</si>
  <si>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</si>
  <si>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</si>
  <si>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</si>
  <si>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</si>
  <si>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</si>
  <si>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</si>
  <si>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</si>
  <si>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</si>
  <si>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</si>
  <si>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</si>
  <si>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</si>
  <si>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</si>
  <si>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</si>
  <si>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</si>
  <si>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</si>
  <si>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</si>
  <si>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</si>
  <si>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</si>
  <si>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</si>
  <si>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</si>
  <si>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</si>
  <si>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</si>
  <si>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</si>
  <si>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</si>
  <si>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</si>
  <si>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</si>
  <si>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</si>
  <si>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</si>
  <si>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</si>
  <si>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</si>
  <si>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</si>
  <si>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</si>
  <si>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</si>
  <si>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</si>
  <si>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</si>
  <si>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</si>
  <si>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</si>
  <si>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</si>
  <si>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</si>
  <si>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</si>
  <si>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</si>
  <si>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</si>
  <si>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</si>
  <si>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</si>
  <si>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</si>
  <si>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</si>
  <si>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</si>
  <si>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</si>
  <si>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</si>
  <si>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</si>
  <si>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</si>
  <si>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</si>
  <si>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</si>
  <si>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</si>
  <si>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</si>
  <si>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</si>
  <si>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</si>
  <si>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</si>
  <si>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</si>
  <si>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</si>
  <si>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</si>
  <si>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</si>
  <si>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</si>
  <si>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</si>
  <si>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</si>
  <si>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</si>
  <si>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</si>
  <si>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</si>
  <si>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</si>
  <si>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</si>
  <si>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</si>
  <si>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</si>
  <si>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</si>
  <si>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</si>
  <si>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</si>
  <si>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</si>
  <si>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</si>
  <si>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</si>
  <si>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</si>
  <si>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</si>
  <si>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</si>
  <si>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</si>
  <si>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</si>
  <si>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</si>
  <si>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</si>
  <si>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</si>
  <si>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</si>
  <si>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</si>
  <si>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</si>
  <si>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</si>
  <si>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</si>
  <si>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</si>
  <si>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</si>
  <si>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</si>
  <si>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</si>
  <si>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</si>
  <si>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</si>
  <si>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</si>
  <si>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</si>
  <si>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</si>
  <si>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</si>
  <si>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</si>
  <si>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</si>
  <si>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</si>
  <si>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</si>
  <si>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</si>
  <si>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</si>
  <si>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</si>
  <si>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</si>
  <si>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</si>
  <si>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</si>
  <si>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</si>
  <si>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</si>
  <si>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</si>
  <si>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</si>
  <si>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Andrea</t>
  </si>
  <si>
    <t>Sardi</t>
  </si>
  <si>
    <t>Italia</t>
  </si>
  <si>
    <t>Genova</t>
  </si>
  <si>
    <t>Livorno</t>
  </si>
  <si>
    <t>Italiano</t>
  </si>
  <si>
    <t>Inglese</t>
  </si>
  <si>
    <t>Spagnolo</t>
  </si>
  <si>
    <t>Tedesco</t>
  </si>
  <si>
    <t>Ingegneria Elettronica</t>
  </si>
  <si>
    <t>1983</t>
  </si>
  <si>
    <t>Università di Pisa</t>
  </si>
  <si>
    <t>110/110</t>
  </si>
  <si>
    <t>Master in Business Administration</t>
  </si>
  <si>
    <t>1992</t>
  </si>
  <si>
    <t>Università "Luigi Bocconi", Scuola di Direzione Aziendale</t>
  </si>
  <si>
    <t>6,5/7</t>
  </si>
  <si>
    <t>Regione Lombardia, Finlombarda Spa.</t>
  </si>
  <si>
    <t>2018</t>
  </si>
  <si>
    <t>Regione Lombardia, Finlombarda Spa</t>
  </si>
  <si>
    <t>2017</t>
  </si>
  <si>
    <t>2016</t>
  </si>
  <si>
    <t>BANDO per la presentazione delle domande di progetti di ricerca industriale e sviluppo sperimentale nelle aree di specializzazione S3</t>
  </si>
  <si>
    <t>PROGRAMMA OPERATIVO REGIONALE 2014-2020 OBIETTIVO “INVESTIMENTI IN FAVORE DELLA CRESCITA E DELL’OCCUPAZIONE” (cofinanziato con il FESR). ASSE PRIORITARIO I Azione - Sostegno alle attività collaborative di R&amp;S per lo sviluppo di nuove tecnologie sostenibili, di nuovi prodotti e servizi. LINEA R&amp;S PER AGGREGAZIONI.</t>
  </si>
  <si>
    <t>Azione: "Sostegno alla valorizzazione economica dell’innovazione attraverso la sperimentazione e l’adozione di soluzioni innovative nei processi, nei prodotti e nelle formule organizzative, nonché attraverso il finanziamento dell’industrializzazione dei risultati della ricerca LINEA R&amp;S PER MPMI (FRIM FESR 2020)</t>
  </si>
  <si>
    <t xml:space="preserve">PROGRAMMA OPERATIVO REGIONALE 2014-2020 OBIETTIVO “INVESTIMENTI IN FAVORE DELLA CRESCITA E DELL’OCCUPAZIONE” (cofinanziato con il FESR). ASSE PRIORITARIO I </t>
  </si>
  <si>
    <t>Azione: "Sostegno alla valorizzazione economica dell’innovazione attraverso la sperimentazione e l’adozione di soluzioni innovative nei processi, nei prodotti e nelle formule organizzative, nonché attraverso il finanziamento dell’industrializzazione dei risultati della ricerca LINEA R&amp;S PER MPMI (FRIM FESR 2020)"</t>
  </si>
  <si>
    <t>1986</t>
  </si>
  <si>
    <t>Effetti delle scintillazione della Radar Cross Section sulla probabilità di scoperta di un missile nella fase di lancio e di volo.</t>
  </si>
  <si>
    <t>30/30</t>
  </si>
  <si>
    <t>Accademia Navale di Livorno - Università di Pisa</t>
  </si>
  <si>
    <t>Progetto sul campo: "Business plan per il lancio di un nuovo prodotto. Sistema di atterraggio strumentale, basato su sensore elettro-ottico, per l'aviazione civile" in collaborazione con Galileo Avionica.</t>
  </si>
  <si>
    <t>In corso</t>
  </si>
  <si>
    <t>Consulenza alle Imprese</t>
  </si>
  <si>
    <t>LI</t>
  </si>
  <si>
    <t xml:space="preserve">Vice Direttore Unità R&amp;D e Produzione di Baranzate (MBITL). Riporto a Socio fondatore. Assicurare lo sviluppo economico-finanziario, dimensionale, organizzativo. </t>
  </si>
  <si>
    <t>MI</t>
  </si>
  <si>
    <t>ICT</t>
  </si>
  <si>
    <t>Baranzate</t>
  </si>
  <si>
    <t>Rilancio di Azienda in crisi. Rifocalizzata la strategia da “prodotto leader di prezzo” per Operatori Locali, a “leader tecnologico di soluzioni ad alto valore aggiunto”, sistemi WLAN per i maggiori Operatori telefonici. Anticipati l’evoluzione del mercato ed i requisiti dei maggiori Operatori, guidando lo Sviluppo Prodotti verso soluzioni altamente competitive. Affiancata la forza vendite nelle trattative con gli operatori telefonici (Telecom Italia, Telefonica, Swisscom Eurospot) e  System Integrators a livello internazionale.</t>
  </si>
  <si>
    <t>Responsabile riposizionamento strategico e Vice President Sales &amp; Marketing, con riporto all'Amministratore Delegato. Gestione forza vendite e Technical Sales. Supervisione del Product Planning.</t>
  </si>
  <si>
    <t>01/10/2003</t>
  </si>
  <si>
    <t>31/10/2005</t>
  </si>
  <si>
    <t>Gemtek Systems BV</t>
  </si>
  <si>
    <t>Amsterdam</t>
  </si>
  <si>
    <t>The Netherlands</t>
  </si>
  <si>
    <t>Sviluppo di Azienda. Rifocalizzata la strategia competitiva di Gruppo: da “prodotto su commessa, per mercato locale” a “leader tecnologico, sistemi end-to-end, dedicati ad un mercato globale”.Trasferimento di know-how tecnologico consentendo lo sviluppo di soluzioni innovative rivolte ai maggiori Operatori TV, rispondenti ai 3 standard emergenti per la TV digitale per Nord e Sud America, EMEA, Far East con deposito di tre brevetti. Completa ristrutturazione di MBITL, centro R&amp;D e produzione del Gruppo. Aumento fatturato, produttività e redditività.</t>
  </si>
  <si>
    <t>Cisco Systems</t>
  </si>
  <si>
    <t>Major Opportunities Manager, con riporto al VP Europe, Optical Networks. Responsabile Marketing e Vendite per il Nord Europa, nell'ambito della neo-costituita Linea di Business. Formazione e affiancamento dei Local Account Manager in merito al nuovo portafoglio prodotti.</t>
  </si>
  <si>
    <t>Vimercate</t>
  </si>
  <si>
    <t>MB</t>
  </si>
  <si>
    <t>01/08/2000</t>
  </si>
  <si>
    <t>30/06/2001</t>
  </si>
  <si>
    <t>Business Development Manager - Sud Europa. Anticipare tendenze di mercato e tecnologiche di lungo termine. Definire nuovo posizionamento competitivo. Introdurre la vendita dei sistemi attraverso System Integrators assicurando la partecipazione a progetti di grandi dimensioni.</t>
  </si>
  <si>
    <t>Simoco Europe Ltd</t>
  </si>
  <si>
    <t>Derby</t>
  </si>
  <si>
    <t>UK</t>
  </si>
  <si>
    <t>22/03/1999</t>
  </si>
  <si>
    <t>30/04/2000</t>
  </si>
  <si>
    <t>Project &amp; Contract Manager. Responsabile progetti, contratti e sviluppo business per la realizzazione di reti SDH in EMEA, Far East. Coordinamento con Partner Industriali Internazionali, per progetti multilaterali. Gestione accordo commerciale Marconi-Ericsson.</t>
  </si>
  <si>
    <t>TLC</t>
  </si>
  <si>
    <t>GE</t>
  </si>
  <si>
    <t>Marconi Spa</t>
  </si>
  <si>
    <t>01/12/1994</t>
  </si>
  <si>
    <t>19/03/1999</t>
  </si>
  <si>
    <t>Officine Galileo Spa (Ora Galileo Avionica, Divisione di Finmeccanica - Leonardo Spa)</t>
  </si>
  <si>
    <t>Campi Bisenzio</t>
  </si>
  <si>
    <t>FI</t>
  </si>
  <si>
    <t>14/04/1990</t>
  </si>
  <si>
    <t>08/11/1994</t>
  </si>
  <si>
    <t xml:space="preserve">Riposizionamento strategico e sviluppo nuovo portafoglio prodotti. Definito il progetto di due nuovi sistema avionici ed il relativo business plan:  “Sistema di navigazione aerea per aviazione civile” (brevetto (N°0001252778 Autore Andrea Sardi, Titolare: Galileo Avionica) e "Sistema integrato RADAR – Infrarosso – Sistema d’Arma". Sviluppo business sistemi avionici e satellitari per il remote sensing. Selezionati agenti in Europa, Malesia, Pakistan. Individuato Partner Industriali per lo sviluppo di programmi multilaterali (Pakistan). </t>
  </si>
  <si>
    <t>Preparazione della “Risk and Safety Analysis”; preparazione dell’analisi di MTBF, FMECA e definizione del FRACAS, con riferimento alle specifiche MIL-STD e ai requisiti di Progetto. Identificazione delle principali aree di criticità, analisi dei rischi, categorizzazione, valutazione e pianificazione delle varianti di progetto conformi ai requisiti.  Qualifica e monitoraggio dei sub-fornitori. Rivisto il Piano di Affidabilità e Sicurezza del Volo dell’AM-X. Qualificati circa 25 fornitori per il programma EFA.</t>
  </si>
  <si>
    <t xml:space="preserve">Reliability &amp; Flight Safety Engineer. Ufficio Affidabilità e Sicurezza del Volo. Revisione dei Piani di Affidabilità e Sicurezza del Volo (R&amp;FS Plans) per i principali programmi, guidando i team di progetto funzionali verso il raggiungimento di requisiti di “R&amp;FS del velivolo. </t>
  </si>
  <si>
    <t>VA</t>
  </si>
  <si>
    <t>Varese</t>
  </si>
  <si>
    <t>Aermacchi Spa (ora Divisione di Leonardo - Finmeccanica)</t>
  </si>
  <si>
    <t>01/05/1989</t>
  </si>
  <si>
    <t>Definizione dei Capitolati Tecnici di prodotti e servizi e gestione dell'intera procedura di acquisto secondo le norme vigenti in ambito Pubblica Amministrazione. Membro delle Commissioni di Valutazione di Offerta. Direzione dei programmi nella fase di implementazione, nell’ambito di vincoli operativi, tecnici e finanziari. Coordinamento degli Uffici ed Enti Tecnici Periferici, per il raggiungimento degli obiettivi di progetto, risolvendo potenziali conflitti su progetti concorrenti, individuando opportune soluzioni per allocazione di risorse scarse.</t>
  </si>
  <si>
    <t xml:space="preserve">Capo Sezione. Riporto al Capo XII Divisione, IV Reparto - Sistemi “Operazioni, Missili e Radar”. Responsabile tecnico-amministrativo programmi, contratti di acquisto, per Sistemi Missilistici Medio-Lungo Raggio, apparecchiature e servizi di supporto, da industrie USA ed italiane. </t>
  </si>
  <si>
    <t>Aerospaziale e Difesa</t>
  </si>
  <si>
    <t>Difesa, Avionica ed Aerospazio</t>
  </si>
  <si>
    <t>RM</t>
  </si>
  <si>
    <t>Roma</t>
  </si>
  <si>
    <t>Ministero Difesa - Marina Militare, Direzione Generale per gli Armamenti Navali</t>
  </si>
  <si>
    <t>09/03/1986</t>
  </si>
  <si>
    <t>15/04/1989</t>
  </si>
  <si>
    <t>Esperienza e Clienti nei settori Difesa, Aerospazio, ICT, Energia, Automotive.
Tra i Clienti: 3TP srl – ZTE, gestione gruppi di progetto per l’upgrade della rete W3; Polo Tecnologico Navacchio, analisi settori mobilità, energia, automotive e business plan per Azienda associata; Projest Spa, business plan per il riposizionamento strategico; EASME, Coach a supporto dello sviluppo di due start-up nei settori energia e ICT; Kobo Capital Ltd (Financial Adivisory) selezione aziende innovative e Venture Manager; Finlombarda, Valutazione progetti.</t>
  </si>
  <si>
    <t>Assicurata la piena operatività del sistema d'arma. Organizzato ed implementato un innovativo programma per la revisione completa del Sistema Missilistico (lavori manutenzione straordinaria) con nave pienamente operativa.</t>
  </si>
  <si>
    <t>Capo Servizio Tecnico Armi. Riporto al Capo Servizio Armi. Responsabilità delle operazioni tecniche, del Sistema di supporto logistico, della gestione ed addestramento del personale addetto</t>
  </si>
  <si>
    <t>Difesa</t>
  </si>
  <si>
    <t>Ministero Difesa - Marina Militare, Incrociato "A. Doria", La Spezia</t>
  </si>
  <si>
    <t>18/04/1983</t>
  </si>
  <si>
    <t>08/03/1986</t>
  </si>
  <si>
    <t>Successivamente al Corso di Laurea in Ingegneria Elettronica con Indirizzo Calcolatori, ho conseguito una Specializzazione in Sistemi Missilistici e Radar (Corso realizzato dal Ministero Difesa, Accademia Navale di Livorno, in collaborazione con l'Università di Pisa). Focus del corso di Specializzazione è stata lo studio del missile (aerodinamica, sistemi di controllo del volo, sistemi di propulsione, di lancio) la difesa contro la minaccia aerea, missilistica e in particolare relativa ai missili balistici, e l'integrazione del sistema missilistico nel C4ISTAR, comando e controllo integrato, cui afferiscono le informazioni provenienti dalle varie piattaforme, navali, aeronautiche e satellitari. Il corso ha compreso, oltre allo studio dei missili per applicazioni aeronavali anche lo studio dei missili balistici, dei vettori per il lancio dei satelliti. Queste conoscenze sono afferenti sia alla MA1 Aerospazio e relative sottoaree, in particoolare AS2, AS5, AS6</t>
  </si>
  <si>
    <t>Libero Professionista Consuelenza Strategica e Gestionale</t>
  </si>
  <si>
    <t>Screen Service Spa</t>
  </si>
  <si>
    <t>Screen Service Spa (Broadcasting Televisivo)</t>
  </si>
  <si>
    <t>Come Ufficiale della Marina Militare ho ricoperto l'Incarico di Capo Servizio Tecnico Armi a bordo dell'incrociatore "Andrea Doria" e di Responsabile dei Programmi Missilistici a medio lungo raggio presso la Direzione Generale per gli Armamenti Navali. Focus degli studi e dei programmi è stata la difesa contro la minaccia aerea e missilistica (in particolare dei missili balistici), e l'integrazione del sistema missilistico nel C4ISTAR. Questa esperienza è afferente alla MA1 Aerospazio e relative sottoaree, in particoolare AS2, AS5, AS6. I sistemi di guida, controllo del volo, comunicazione bordo-terra dei missili hanno forti affinità con quelli dei veicoli destinati all'aero-spazio, mentre le comunicazioni via satellite e verso gli aeromobili hanno sempre avuto un ruolo rilevante nel sistema di combattimento aeronavale integrato. In Aermacchi ho approfondito queste tematiche con specifico riferimento alla piattaforma aerea ad ala fissa, così come in Galielo Avionica, occupandomi di avionica per gli elicotteri e di sistemi per Remote Sensing (laser e infrarossi), sia per aeromobile che per satellite (AS2, AS5 ed AS6). In Screen Service sono stati sviluppati anche sistemi DVB-S per le trasmissioni satellitari. Inoltre le reti TLC terrestri (Marconi, Cisco, Simoco) spesso si integrano con i satelliti per assicurare la copertura di aree isolate come avviene per piattaforme aeree e navali. Queste conoscenze sono state utilizzate per l'esecuzione degli incarichi che mi sono stati precedentemente affidati da Finlombarda Spa anche in Ambito Aerospazio, per un totale di 5 progetti (valutazioni ex ante, in itinere, ispettiva) nel periodo 2016-2018. Sono iscritto all'Albo degli esperti scientifici del MIUR per la sezione Ricerca Industriale Competitiva e per lo Sviuppo Sociale. Sono autore dei un brevetto per un "Sistema elettro-ottico per l'ausilio alla navigazione aerea nelle fasi di avvicinamento, atterraggio e rullaggio"</t>
  </si>
  <si>
    <t>Il Master in Business Administration ha sviluppato le conoscenze riguardanti l'avvio, la gestione e lo sviluppo di impresa. Oltre all'insegnamento teorico delle discipline economico-aziendali, i docenti hanno fatto un uso intensivo di case studies, che si chiedeva di analizzare e risolvere partendo da una situazione di crisi aziendale, riguardante una specifica area o l'intera Azienda. Quest'ultima tipologia di crisi è stata sopratutto oggetto degli studi di Strategia, comportando un riposizionamento strategico con forte innovazione del sistema di offerta e dei processi o persino una riconversione delle attività. In questo corso (tre moduli) si sono considerati tutti gli aspetti riguardanti la realtà esterna (mercato, concorrenza, altri stake-holder, norme, fattori macroeconomici, evoluzione sociale e della domanda, mercato dei capitali) ed interna all'Azienda (cultura, know-how, prodotti e processi, organizzazione, disinvestimenti, investimenti, equilibrio economico e finanziario, scelta delle alternative di finanziamento) così da assicurare alla stessa un solido posizionamento competitivo e uno sviluppo equilibrato e sostenibile.</t>
  </si>
  <si>
    <t xml:space="preserve">Esperto nella gestione di programmi complessi, nell’acquisizione di nuovi mercati e Clienti, nello sviluppo di sistemi di offerta ad alto valore aggiunto, in operazioni di ristrutturazione e innovazione di prodotto, processo, organizzativa e gestionale. Aumento della produttività e della redditività. </t>
  </si>
  <si>
    <t>Internazionalizzazione nuova linea di prodotti. Supporto tecnico e commerciale alla introduzione della linea SDH sui mercati internazionali, caratterizzati dalla consolidata presenza di altre Aziende concorrenti affermate in questo segmento di mercato, sia dal punto di vista tecnico che commerciale (es: Alcatel, Siemens). Affiancamento dei Local Account Manager nel corso delle trattative commerciali, dall'attività di marketing alla presentazione della offerta tecnica e commerciale al Cliente con negoziazione delle possibili alternative proposte</t>
  </si>
  <si>
    <t>Internazionalizzazione. Definita la struttura commerciale Indiretta tramite System Integrators. Introdotti verso i Systems Integrators (S.I.): contratto quadro, obiettivi commerciali, budget annuale. Supporto e formazione dei S.I., in particolare nella formulazione di offerte verso il cliente finale e della relativa negoziazione. Condivisione con i S.I. di un metodo per la valutazione delle opportunità commerciali e la raccolta sistematica di informazioni per sviluppo del portafoglio prodotti e analisi della concorrenza.</t>
  </si>
  <si>
    <t>Internazionalizzazione e riorganizzazione. Gestione Progetti e Contratti. Introdotte innovazioni di processo/gestione logistica. Introdotto un sistema formale di gestione delle relazioni tecnico commerciali con i Clienti. Successivamente alla fusione tra Marconi (4.000 dipendenti) - GPT (10.000 dipendenti), delegato dalla Marconi, nell'ambito del Team di progetto di riorganizzazione aziendale. Supportata l'espansione commerciale in Brasile e Cina. Gestiti accordi di delocalizzazione produttiva (Brasile e Indonesia).</t>
  </si>
  <si>
    <t xml:space="preserve">Ridefinire il sistema d'offerta “visori IR stand alone” a basso valore aggiunto, a “Sistemi Avionici integrati per le operazioni di pattugliamento con elicottero ed altre applicazioni per l'Areonautica Civile e Militare”, ad alto valore aggiunto. Senior System Engineer - Marketing Manager. </t>
  </si>
  <si>
    <t>Corso di Specializzazione in Missilistica</t>
  </si>
  <si>
    <t>Sistema Direct Numeric Control per la gestione di una linea flessibile di lavorazione per carter a due tempi di motociclo. Tesi sperimentale svolta in collaborazione con l'Istituto Sperimentale di Macchine dell'Università di Pisa</t>
  </si>
  <si>
    <t>L'esperienza professionale precedente al corso MBA, mi ha messo in diretto contatto con situazioni di crisi in area operativa, tecnica, logistica, stimolando, per ruolo, responsabilità ed attitudine personale, l'eleborazione di soluzioni alternative, valutate in relazione ai costi e benefici. Con l'MBA ho acquisito una maggiore capacità di strutturare queste proposte, in ambito aziendale, eleborando ed implementando Project Plan, Business Plan e Piani Industriali, ricevendo incarichi di redifinizione del portafoglio prodotti/riposizionamento strategico da Officine Galileo, Gemtek Systems, Screen Service Spa, e successivamente da altri Clienti, come Polo Navacchio Spa per Dielektric Srl, da Samares Spa, Projest Spa, Basis Group. Come Coach EASME mi sono stati affidati progetti riguardanti l'avvio di imprese finanziate dalla EU (SME Instrument Phase 1 e Phase 2) e per conto di Kobo Funds e in collaborazione anche con ASTER, Regione Toscana - Ufficio Attrazione Investimenti, mi sono occupato della individuazione di start-up innovative, assistendole quindi nelle predisposizione del Business Plan e nella presentazione agli investitori. Marconi Spa mi ha affidato sia programmi di internazionalizzazione (delocalizzazione produttiva in Brasile e Indonesia e accordi con partner industriali locali e gestione joint venture Ericsson-Marconi, prevalentemente rivolta ala Cina) che di riorganizzazione dell'area Sales &amp; Marketing dopo la fusione GPT-Marconi. Per quanto riguarda l'internazionalizzazione, Simoco mi ha incaricato di sviluppare il mercato Sud Europa. Ho raggiunto accordi quadro con Italtel e Ansaldo Trasporti che oltre all'Europa coprivano il Sud America, grazie alla forte presenza delle due Aziende in queste aree. Cisco Systems mi ha incaricato di supportare la forza vendite Nord Europa (nuovo portafoglio prodotti/nuova tecnologia)</t>
  </si>
  <si>
    <t>1958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</si>
</sst>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34" zoomScaleNormal="100" workbookViewId="0">
      <selection activeCell="D35" sqref="D35:D38"/>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5" t="s">
        <v>207</v>
      </c>
      <c r="D6" s="35"/>
    </row>
    <row r="7" spans="1:4" ht="15" customHeight="1" x14ac:dyDescent="0.35">
      <c r="A7" s="11" t="s">
        <v>104</v>
      </c>
      <c r="B7" s="5"/>
      <c r="C7" s="6" t="s">
        <v>105</v>
      </c>
      <c r="D7" s="12" t="str">
        <f>nome&amp;" "&amp;cognome&amp;"; "&amp;codice_fiscale</f>
        <v xml:space="preserve">Andrea Sardi; </v>
      </c>
    </row>
    <row r="8" spans="1:4" ht="15" customHeight="1" x14ac:dyDescent="0.35">
      <c r="A8" s="11"/>
      <c r="B8" s="5"/>
      <c r="C8" s="5"/>
      <c r="D8" s="5"/>
    </row>
    <row r="9" spans="1:4" ht="20" x14ac:dyDescent="0.35">
      <c r="A9" s="11"/>
      <c r="B9" s="5"/>
      <c r="C9" s="33" t="s">
        <v>172</v>
      </c>
      <c r="D9" s="33"/>
    </row>
    <row r="10" spans="1:4" ht="15" customHeight="1" x14ac:dyDescent="0.35">
      <c r="A10" s="11"/>
      <c r="B10" s="5"/>
      <c r="C10" s="5"/>
      <c r="D10" s="5"/>
    </row>
    <row r="11" spans="1:4" ht="15" customHeight="1" x14ac:dyDescent="0.35">
      <c r="A11" s="11" t="s">
        <v>91</v>
      </c>
      <c r="B11" s="5"/>
      <c r="C11" s="6" t="s">
        <v>60</v>
      </c>
      <c r="D11" s="3" t="s">
        <v>676</v>
      </c>
    </row>
    <row r="12" spans="1:4" ht="15" customHeight="1" x14ac:dyDescent="0.35">
      <c r="A12" s="11" t="s">
        <v>92</v>
      </c>
      <c r="B12" s="5"/>
      <c r="C12" s="6" t="s">
        <v>61</v>
      </c>
      <c r="D12" s="3" t="s">
        <v>677</v>
      </c>
    </row>
    <row r="13" spans="1:4" ht="15" customHeight="1" x14ac:dyDescent="0.35">
      <c r="A13" s="11" t="s">
        <v>93</v>
      </c>
      <c r="B13" s="5"/>
      <c r="C13" s="6" t="s">
        <v>112</v>
      </c>
      <c r="D13" s="3" t="s">
        <v>113</v>
      </c>
    </row>
    <row r="14" spans="1:4" ht="15" customHeight="1" x14ac:dyDescent="0.35">
      <c r="A14" s="11"/>
      <c r="B14" s="5"/>
      <c r="C14" s="5"/>
      <c r="D14" s="5"/>
    </row>
    <row r="15" spans="1:4" ht="15" customHeight="1" x14ac:dyDescent="0.35">
      <c r="A15" s="11" t="s">
        <v>94</v>
      </c>
      <c r="B15" s="5"/>
      <c r="C15" s="6" t="s">
        <v>62</v>
      </c>
      <c r="D15" s="3" t="s">
        <v>678</v>
      </c>
    </row>
    <row r="16" spans="1:4" ht="15" customHeight="1" x14ac:dyDescent="0.35">
      <c r="A16" s="11" t="s">
        <v>95</v>
      </c>
      <c r="B16" s="5"/>
      <c r="C16" s="6" t="s">
        <v>63</v>
      </c>
      <c r="D16" s="3" t="s">
        <v>679</v>
      </c>
    </row>
    <row r="17" spans="1:4" ht="15" customHeight="1" x14ac:dyDescent="0.35">
      <c r="A17" s="11" t="s">
        <v>96</v>
      </c>
      <c r="B17" s="5"/>
      <c r="C17" s="6" t="s">
        <v>100</v>
      </c>
      <c r="D17" s="3" t="s">
        <v>679</v>
      </c>
    </row>
    <row r="18" spans="1:4" ht="15" customHeight="1" x14ac:dyDescent="0.35">
      <c r="A18" s="11" t="s">
        <v>97</v>
      </c>
      <c r="B18" s="5"/>
      <c r="C18" s="6" t="s">
        <v>101</v>
      </c>
      <c r="D18" s="3" t="s">
        <v>783</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669</v>
      </c>
      <c r="D31" s="3"/>
    </row>
    <row r="32" spans="1:4" ht="15" customHeight="1" x14ac:dyDescent="0.35">
      <c r="A32" s="11" t="s">
        <v>85</v>
      </c>
      <c r="B32" s="5"/>
      <c r="C32" s="6" t="s">
        <v>670</v>
      </c>
      <c r="D32" s="4"/>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3" t="s">
        <v>173</v>
      </c>
      <c r="D40" s="33"/>
    </row>
    <row r="41" spans="1:4" ht="15" customHeight="1" x14ac:dyDescent="0.35">
      <c r="A41" s="11"/>
      <c r="B41" s="5"/>
      <c r="C41" s="5"/>
      <c r="D41" s="5"/>
    </row>
    <row r="42" spans="1:4" ht="15" customHeight="1" x14ac:dyDescent="0.35">
      <c r="A42" s="11" t="s">
        <v>106</v>
      </c>
      <c r="B42" s="5"/>
      <c r="C42" s="6" t="s">
        <v>124</v>
      </c>
      <c r="D42" s="3" t="s">
        <v>681</v>
      </c>
    </row>
    <row r="43" spans="1:4" ht="15" customHeight="1" x14ac:dyDescent="0.35">
      <c r="A43" s="11" t="s">
        <v>107</v>
      </c>
      <c r="B43" s="5"/>
      <c r="C43" s="6" t="s">
        <v>126</v>
      </c>
      <c r="D43" s="4" t="s">
        <v>682</v>
      </c>
    </row>
    <row r="44" spans="1:4" ht="15" customHeight="1" x14ac:dyDescent="0.35">
      <c r="A44" s="11" t="s">
        <v>108</v>
      </c>
      <c r="B44" s="5"/>
      <c r="C44" s="6" t="s">
        <v>127</v>
      </c>
      <c r="D44" s="4" t="s">
        <v>321</v>
      </c>
    </row>
    <row r="45" spans="1:4" ht="15" customHeight="1" x14ac:dyDescent="0.35">
      <c r="A45" s="11" t="s">
        <v>109</v>
      </c>
      <c r="B45" s="5"/>
      <c r="C45" s="6" t="s">
        <v>128</v>
      </c>
      <c r="D45" s="4" t="s">
        <v>683</v>
      </c>
    </row>
    <row r="46" spans="1:4" ht="15" customHeight="1" x14ac:dyDescent="0.35">
      <c r="A46" s="11" t="s">
        <v>110</v>
      </c>
      <c r="B46" s="5"/>
      <c r="C46" s="6" t="s">
        <v>129</v>
      </c>
      <c r="D46" s="4" t="s">
        <v>320</v>
      </c>
    </row>
    <row r="47" spans="1:4" ht="15" customHeight="1" x14ac:dyDescent="0.35">
      <c r="A47" s="11" t="s">
        <v>111</v>
      </c>
      <c r="B47" s="5"/>
      <c r="C47" s="6" t="s">
        <v>130</v>
      </c>
      <c r="D47" s="4" t="s">
        <v>684</v>
      </c>
    </row>
    <row r="48" spans="1:4" ht="15" customHeight="1" x14ac:dyDescent="0.35">
      <c r="A48" s="11" t="s">
        <v>132</v>
      </c>
      <c r="B48" s="5"/>
      <c r="C48" s="6" t="s">
        <v>131</v>
      </c>
      <c r="D48" s="4" t="s">
        <v>319</v>
      </c>
    </row>
    <row r="49" spans="1:4" ht="15" customHeight="1" x14ac:dyDescent="0.35">
      <c r="A49" s="11"/>
      <c r="B49" s="5"/>
      <c r="C49" s="5"/>
      <c r="D49" s="5"/>
    </row>
    <row r="50" spans="1:4" ht="20" x14ac:dyDescent="0.35">
      <c r="A50" s="11"/>
      <c r="B50" s="5"/>
      <c r="C50" s="33" t="s">
        <v>174</v>
      </c>
      <c r="D50" s="33"/>
    </row>
    <row r="51" spans="1:4" ht="30" customHeight="1" x14ac:dyDescent="0.35">
      <c r="A51" s="11"/>
      <c r="B51" s="5"/>
      <c r="C51" s="34" t="s">
        <v>359</v>
      </c>
      <c r="D51" s="34"/>
    </row>
    <row r="52" spans="1:4" ht="15" customHeight="1" x14ac:dyDescent="0.35">
      <c r="A52" s="11"/>
      <c r="B52" s="5"/>
      <c r="C52" s="5"/>
      <c r="D52" s="5"/>
    </row>
    <row r="53" spans="1:4" ht="15" customHeight="1" x14ac:dyDescent="0.35">
      <c r="A53" s="11" t="s">
        <v>133</v>
      </c>
      <c r="B53" s="5"/>
      <c r="C53" s="6" t="s">
        <v>353</v>
      </c>
      <c r="D53" s="3" t="s">
        <v>51</v>
      </c>
    </row>
    <row r="54" spans="1:4" ht="15" customHeight="1" x14ac:dyDescent="0.35">
      <c r="A54" s="11" t="s">
        <v>134</v>
      </c>
      <c r="B54" s="5"/>
      <c r="C54" s="6" t="s">
        <v>355</v>
      </c>
      <c r="D54" s="4" t="s">
        <v>1</v>
      </c>
    </row>
    <row r="55" spans="1:4" ht="15" customHeight="1" x14ac:dyDescent="0.35">
      <c r="A55" s="11" t="s">
        <v>135</v>
      </c>
      <c r="B55" s="5"/>
      <c r="C55" s="6" t="s">
        <v>356</v>
      </c>
      <c r="D55" s="4" t="s">
        <v>3</v>
      </c>
    </row>
    <row r="56" spans="1:4" ht="15" customHeight="1" x14ac:dyDescent="0.35">
      <c r="A56" s="11" t="s">
        <v>136</v>
      </c>
      <c r="B56" s="5"/>
      <c r="C56" s="6" t="s">
        <v>474</v>
      </c>
      <c r="D56" s="4" t="s">
        <v>4</v>
      </c>
    </row>
    <row r="57" spans="1:4" ht="15" customHeight="1" x14ac:dyDescent="0.35">
      <c r="A57" s="11"/>
      <c r="B57" s="5"/>
      <c r="C57" s="5"/>
      <c r="D57" s="5"/>
    </row>
    <row r="58" spans="1:4" ht="15" customHeight="1" x14ac:dyDescent="0.35">
      <c r="A58" s="11" t="s">
        <v>137</v>
      </c>
      <c r="B58" s="5"/>
      <c r="C58" s="6" t="s">
        <v>354</v>
      </c>
      <c r="D58" s="3" t="s">
        <v>657</v>
      </c>
    </row>
    <row r="59" spans="1:4" ht="15" customHeight="1" x14ac:dyDescent="0.35">
      <c r="A59" s="11" t="s">
        <v>138</v>
      </c>
      <c r="B59" s="5"/>
      <c r="C59" s="6" t="s">
        <v>357</v>
      </c>
      <c r="D59" s="4" t="s">
        <v>661</v>
      </c>
    </row>
    <row r="60" spans="1:4" ht="15" customHeight="1" x14ac:dyDescent="0.35">
      <c r="A60" s="11" t="s">
        <v>472</v>
      </c>
      <c r="B60" s="5"/>
      <c r="C60" s="6" t="s">
        <v>358</v>
      </c>
      <c r="D60" s="4" t="s">
        <v>658</v>
      </c>
    </row>
    <row r="61" spans="1:4" ht="15" customHeight="1" x14ac:dyDescent="0.35">
      <c r="A61" s="11" t="s">
        <v>473</v>
      </c>
      <c r="C61" s="6" t="s">
        <v>475</v>
      </c>
      <c r="D61" s="4" t="s">
        <v>663</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8">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
      <formula1>INDIRECT(spec_secondaria)</formula1>
    </dataValidation>
    <dataValidation type="list" allowBlank="1" showInputMessage="1" showErrorMessage="1" sqref="D58">
      <formula1>Macroaree</formula1>
    </dataValidation>
    <dataValidation type="list" allowBlank="1" showInputMessage="1" showErrorMessage="1" sqref="D53">
      <formula1>Macroaree</formula1>
    </dataValidation>
    <dataValidation type="list" allowBlank="1" showInputMessage="1" showErrorMessage="1" sqref="D54:D56">
      <formula1>INDIRECT(spec_principale)</formula1>
    </dataValidation>
    <dataValidation type="list" allowBlank="1" showInputMessage="1" showErrorMessage="1" sqref="D61">
      <formula1>INDIRECT(spec_secondaria)</formula1>
    </dataValidation>
    <dataValidation type="list" allowBlank="1" showInputMessage="1" showErrorMessage="1" sqref="D60">
      <formula1>INDIRECT(spec_secondaria)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28" zoomScaleNormal="100" workbookViewId="0">
      <selection activeCell="D16" sqref="D16"/>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208</v>
      </c>
      <c r="D6" s="36"/>
    </row>
    <row r="7" spans="1:4" ht="15" customHeight="1" x14ac:dyDescent="0.35">
      <c r="A7" s="11" t="s">
        <v>119</v>
      </c>
      <c r="B7" s="5"/>
      <c r="C7" s="6" t="s">
        <v>105</v>
      </c>
      <c r="D7" s="12" t="str">
        <f>candidatura</f>
        <v xml:space="preserve">Andrea Sardi; </v>
      </c>
    </row>
    <row r="8" spans="1:4" ht="15" customHeight="1" x14ac:dyDescent="0.35">
      <c r="A8" s="11"/>
      <c r="B8" s="5"/>
      <c r="C8" s="5"/>
      <c r="D8" s="5"/>
    </row>
    <row r="9" spans="1:4" ht="20" x14ac:dyDescent="0.35">
      <c r="A9" s="11"/>
      <c r="B9" s="5"/>
      <c r="C9" s="33" t="s">
        <v>175</v>
      </c>
      <c r="D9" s="33"/>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685</v>
      </c>
    </row>
    <row r="13" spans="1:4" ht="15" customHeight="1" x14ac:dyDescent="0.35">
      <c r="A13" s="11" t="s">
        <v>148</v>
      </c>
      <c r="B13" s="5"/>
      <c r="C13" s="6" t="s">
        <v>143</v>
      </c>
      <c r="D13" s="3" t="s">
        <v>686</v>
      </c>
    </row>
    <row r="14" spans="1:4" ht="15" customHeight="1" x14ac:dyDescent="0.35">
      <c r="A14" s="11" t="s">
        <v>149</v>
      </c>
      <c r="B14" s="5"/>
      <c r="C14" s="6" t="s">
        <v>144</v>
      </c>
      <c r="D14" s="3" t="s">
        <v>687</v>
      </c>
    </row>
    <row r="15" spans="1:4" ht="45" customHeight="1" x14ac:dyDescent="0.35">
      <c r="A15" s="16" t="s">
        <v>150</v>
      </c>
      <c r="B15" s="5"/>
      <c r="C15" s="18" t="s">
        <v>145</v>
      </c>
      <c r="D15" s="14" t="s">
        <v>781</v>
      </c>
    </row>
    <row r="16" spans="1:4" ht="15" customHeight="1" x14ac:dyDescent="0.35">
      <c r="A16" s="11" t="s">
        <v>151</v>
      </c>
      <c r="B16" s="5"/>
      <c r="C16" s="6" t="s">
        <v>146</v>
      </c>
      <c r="D16" s="3" t="s">
        <v>688</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3" t="s">
        <v>176</v>
      </c>
      <c r="D35" s="33"/>
    </row>
    <row r="36" spans="1:4" ht="15" customHeight="1" x14ac:dyDescent="0.35">
      <c r="A36" s="11"/>
      <c r="B36" s="5"/>
      <c r="C36" s="5"/>
      <c r="D36" s="5"/>
    </row>
    <row r="37" spans="1:4" ht="15" customHeight="1" x14ac:dyDescent="0.35">
      <c r="A37" s="11" t="s">
        <v>167</v>
      </c>
      <c r="B37" s="5"/>
      <c r="C37" s="6" t="s">
        <v>360</v>
      </c>
      <c r="D37" s="4" t="s">
        <v>780</v>
      </c>
    </row>
    <row r="38" spans="1:4" ht="15" customHeight="1" x14ac:dyDescent="0.35">
      <c r="A38" s="11" t="s">
        <v>168</v>
      </c>
      <c r="B38" s="5"/>
      <c r="C38" s="6" t="s">
        <v>166</v>
      </c>
      <c r="D38" s="4" t="s">
        <v>703</v>
      </c>
    </row>
    <row r="39" spans="1:4" ht="15" customHeight="1" x14ac:dyDescent="0.35">
      <c r="A39" s="11" t="s">
        <v>169</v>
      </c>
      <c r="B39" s="5"/>
      <c r="C39" s="6" t="s">
        <v>144</v>
      </c>
      <c r="D39" s="4" t="s">
        <v>706</v>
      </c>
    </row>
    <row r="40" spans="1:4" ht="45" customHeight="1" x14ac:dyDescent="0.35">
      <c r="A40" s="16" t="s">
        <v>170</v>
      </c>
      <c r="B40" s="5"/>
      <c r="C40" s="18" t="s">
        <v>145</v>
      </c>
      <c r="D40" s="15" t="s">
        <v>704</v>
      </c>
    </row>
    <row r="41" spans="1:4" ht="15" customHeight="1" x14ac:dyDescent="0.35">
      <c r="A41" s="11" t="s">
        <v>171</v>
      </c>
      <c r="B41" s="5"/>
      <c r="C41" s="6" t="s">
        <v>146</v>
      </c>
      <c r="D41" s="4" t="s">
        <v>705</v>
      </c>
    </row>
    <row r="42" spans="1:4" ht="15" customHeight="1" x14ac:dyDescent="0.35">
      <c r="A42" s="11"/>
      <c r="B42" s="5"/>
      <c r="C42" s="5"/>
      <c r="D42" s="5"/>
    </row>
    <row r="43" spans="1:4" ht="20" x14ac:dyDescent="0.35">
      <c r="A43" s="11"/>
      <c r="B43" s="5"/>
      <c r="C43" s="33" t="s">
        <v>177</v>
      </c>
      <c r="D43" s="33"/>
    </row>
    <row r="44" spans="1:4" ht="15" customHeight="1" x14ac:dyDescent="0.35">
      <c r="A44" s="11"/>
      <c r="B44" s="5"/>
      <c r="C44" s="5"/>
      <c r="D44" s="5"/>
    </row>
    <row r="45" spans="1:4" ht="15" customHeight="1" x14ac:dyDescent="0.35">
      <c r="A45" s="11" t="s">
        <v>178</v>
      </c>
      <c r="B45" s="5"/>
      <c r="C45" s="6" t="s">
        <v>361</v>
      </c>
      <c r="D45" s="4" t="s">
        <v>689</v>
      </c>
    </row>
    <row r="46" spans="1:4" ht="15" customHeight="1" x14ac:dyDescent="0.35">
      <c r="A46" s="11" t="s">
        <v>179</v>
      </c>
      <c r="B46" s="5"/>
      <c r="C46" s="6" t="s">
        <v>166</v>
      </c>
      <c r="D46" s="4" t="s">
        <v>690</v>
      </c>
    </row>
    <row r="47" spans="1:4" ht="15" customHeight="1" x14ac:dyDescent="0.35">
      <c r="A47" s="11" t="s">
        <v>180</v>
      </c>
      <c r="B47" s="5"/>
      <c r="C47" s="6" t="s">
        <v>144</v>
      </c>
      <c r="D47" s="4" t="s">
        <v>691</v>
      </c>
    </row>
    <row r="48" spans="1:4" ht="45" customHeight="1" x14ac:dyDescent="0.35">
      <c r="A48" s="16" t="s">
        <v>181</v>
      </c>
      <c r="B48" s="5"/>
      <c r="C48" s="18" t="s">
        <v>145</v>
      </c>
      <c r="D48" s="15" t="s">
        <v>707</v>
      </c>
    </row>
    <row r="49" spans="1:4" ht="15" customHeight="1" x14ac:dyDescent="0.35">
      <c r="A49" s="11" t="s">
        <v>182</v>
      </c>
      <c r="B49" s="5"/>
      <c r="C49" s="6" t="s">
        <v>146</v>
      </c>
      <c r="D49" s="4" t="s">
        <v>692</v>
      </c>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114" zoomScaleNormal="100" workbookViewId="0">
      <selection activeCell="H93" sqref="H93"/>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209</v>
      </c>
      <c r="D6" s="36"/>
    </row>
    <row r="7" spans="1:4" ht="15" customHeight="1" x14ac:dyDescent="0.35">
      <c r="A7" s="11" t="s">
        <v>120</v>
      </c>
      <c r="B7" s="5"/>
      <c r="C7" s="6" t="s">
        <v>105</v>
      </c>
      <c r="D7" s="12" t="str">
        <f>candidatura</f>
        <v xml:space="preserve">Andrea Sardi; </v>
      </c>
    </row>
    <row r="8" spans="1:4" ht="15" customHeight="1" x14ac:dyDescent="0.35">
      <c r="A8" s="11"/>
      <c r="B8" s="5"/>
      <c r="C8" s="5"/>
      <c r="D8" s="5"/>
    </row>
    <row r="9" spans="1:4" ht="20" x14ac:dyDescent="0.35">
      <c r="A9" s="11"/>
      <c r="B9" s="5"/>
      <c r="C9" s="33" t="s">
        <v>659</v>
      </c>
      <c r="D9" s="33"/>
    </row>
    <row r="10" spans="1:4" ht="60" customHeight="1" x14ac:dyDescent="0.35">
      <c r="A10" s="11"/>
      <c r="B10" s="5"/>
      <c r="C10" s="37" t="s">
        <v>362</v>
      </c>
      <c r="D10" s="37"/>
    </row>
    <row r="11" spans="1:4" ht="15" customHeight="1" x14ac:dyDescent="0.35">
      <c r="A11" s="11"/>
      <c r="B11" s="5"/>
      <c r="C11" s="5"/>
      <c r="D11" s="5"/>
    </row>
    <row r="12" spans="1:4" ht="15" customHeight="1" x14ac:dyDescent="0.35">
      <c r="A12" s="11" t="s">
        <v>188</v>
      </c>
      <c r="B12" s="5"/>
      <c r="C12" s="6" t="s">
        <v>491</v>
      </c>
      <c r="D12" s="31">
        <v>37135</v>
      </c>
    </row>
    <row r="13" spans="1:4" ht="15" customHeight="1" x14ac:dyDescent="0.35">
      <c r="A13" s="11" t="s">
        <v>189</v>
      </c>
      <c r="B13" s="5"/>
      <c r="C13" s="6" t="s">
        <v>492</v>
      </c>
      <c r="D13" s="31" t="s">
        <v>708</v>
      </c>
    </row>
    <row r="14" spans="1:4" ht="15" customHeight="1" x14ac:dyDescent="0.35">
      <c r="A14" s="11" t="s">
        <v>190</v>
      </c>
      <c r="B14" s="5"/>
      <c r="C14" s="6" t="s">
        <v>377</v>
      </c>
      <c r="D14" s="3" t="s">
        <v>770</v>
      </c>
    </row>
    <row r="15" spans="1:4" ht="15" customHeight="1" x14ac:dyDescent="0.35">
      <c r="A15" s="11" t="s">
        <v>191</v>
      </c>
      <c r="B15" s="5"/>
      <c r="C15" s="6" t="s">
        <v>376</v>
      </c>
      <c r="D15" s="3" t="s">
        <v>680</v>
      </c>
    </row>
    <row r="16" spans="1:4" ht="15" customHeight="1" x14ac:dyDescent="0.35">
      <c r="A16" s="11" t="s">
        <v>192</v>
      </c>
      <c r="B16" s="5"/>
      <c r="C16" s="6" t="s">
        <v>558</v>
      </c>
      <c r="D16" s="3" t="s">
        <v>710</v>
      </c>
    </row>
    <row r="17" spans="1:4" ht="15" customHeight="1" x14ac:dyDescent="0.35">
      <c r="A17" s="11" t="s">
        <v>193</v>
      </c>
      <c r="B17" s="5"/>
      <c r="C17" s="6" t="s">
        <v>198</v>
      </c>
      <c r="D17" s="3" t="s">
        <v>199</v>
      </c>
    </row>
    <row r="18" spans="1:4" ht="15" customHeight="1" x14ac:dyDescent="0.35">
      <c r="A18" s="11" t="s">
        <v>194</v>
      </c>
      <c r="B18" s="5"/>
      <c r="C18" s="6" t="s">
        <v>186</v>
      </c>
      <c r="D18" s="3" t="s">
        <v>709</v>
      </c>
    </row>
    <row r="19" spans="1:4" ht="15" customHeight="1" x14ac:dyDescent="0.35">
      <c r="A19" s="11" t="s">
        <v>195</v>
      </c>
      <c r="B19" s="5"/>
      <c r="C19" s="6" t="s">
        <v>484</v>
      </c>
      <c r="D19" s="3" t="s">
        <v>486</v>
      </c>
    </row>
    <row r="20" spans="1:4" ht="15" customHeight="1" x14ac:dyDescent="0.35">
      <c r="A20" s="11" t="s">
        <v>196</v>
      </c>
      <c r="B20" s="5"/>
      <c r="C20" s="6" t="s">
        <v>488</v>
      </c>
      <c r="D20" s="3" t="s">
        <v>490</v>
      </c>
    </row>
    <row r="21" spans="1:4" s="28" customFormat="1" ht="75" customHeight="1" x14ac:dyDescent="0.35">
      <c r="A21" s="16" t="s">
        <v>211</v>
      </c>
      <c r="B21" s="17"/>
      <c r="C21" s="18" t="s">
        <v>197</v>
      </c>
      <c r="D21" s="14" t="s">
        <v>762</v>
      </c>
    </row>
    <row r="22" spans="1:4" s="28" customFormat="1" ht="45" customHeight="1" x14ac:dyDescent="0.35">
      <c r="A22" s="16" t="s">
        <v>212</v>
      </c>
      <c r="B22" s="17"/>
      <c r="C22" s="18" t="s">
        <v>187</v>
      </c>
      <c r="D22" s="14" t="s">
        <v>775</v>
      </c>
    </row>
    <row r="24" spans="1:4" ht="15" customHeight="1" x14ac:dyDescent="0.35">
      <c r="A24" s="11" t="s">
        <v>213</v>
      </c>
      <c r="B24" s="5"/>
      <c r="C24" s="6" t="s">
        <v>491</v>
      </c>
      <c r="D24" s="30">
        <v>39128</v>
      </c>
    </row>
    <row r="25" spans="1:4" ht="15" customHeight="1" x14ac:dyDescent="0.35">
      <c r="A25" s="11" t="s">
        <v>214</v>
      </c>
      <c r="B25" s="5"/>
      <c r="C25" s="6" t="s">
        <v>492</v>
      </c>
      <c r="D25" s="30">
        <v>39355</v>
      </c>
    </row>
    <row r="26" spans="1:4" ht="15" customHeight="1" x14ac:dyDescent="0.35">
      <c r="A26" s="11" t="s">
        <v>215</v>
      </c>
      <c r="B26" s="5"/>
      <c r="C26" s="6" t="s">
        <v>378</v>
      </c>
      <c r="D26" s="4" t="s">
        <v>771</v>
      </c>
    </row>
    <row r="27" spans="1:4" ht="15" customHeight="1" x14ac:dyDescent="0.35">
      <c r="A27" s="11" t="s">
        <v>216</v>
      </c>
      <c r="B27" s="5"/>
      <c r="C27" s="6" t="s">
        <v>376</v>
      </c>
      <c r="D27" s="4" t="s">
        <v>714</v>
      </c>
    </row>
    <row r="28" spans="1:4" ht="15" customHeight="1" x14ac:dyDescent="0.35">
      <c r="A28" s="11" t="s">
        <v>217</v>
      </c>
      <c r="B28" s="5"/>
      <c r="C28" s="6" t="s">
        <v>558</v>
      </c>
      <c r="D28" s="4" t="s">
        <v>712</v>
      </c>
    </row>
    <row r="29" spans="1:4" ht="15" customHeight="1" x14ac:dyDescent="0.35">
      <c r="A29" s="11" t="s">
        <v>218</v>
      </c>
      <c r="B29" s="5"/>
      <c r="C29" s="6" t="s">
        <v>198</v>
      </c>
      <c r="D29" s="4" t="s">
        <v>201</v>
      </c>
    </row>
    <row r="30" spans="1:4" ht="15" customHeight="1" x14ac:dyDescent="0.35">
      <c r="A30" s="11" t="s">
        <v>219</v>
      </c>
      <c r="B30" s="5"/>
      <c r="C30" s="6" t="s">
        <v>186</v>
      </c>
      <c r="D30" s="4" t="s">
        <v>772</v>
      </c>
    </row>
    <row r="31" spans="1:4" ht="15" customHeight="1" x14ac:dyDescent="0.35">
      <c r="A31" s="11" t="s">
        <v>220</v>
      </c>
      <c r="B31" s="5"/>
      <c r="C31" s="6" t="s">
        <v>484</v>
      </c>
      <c r="D31" s="4" t="s">
        <v>486</v>
      </c>
    </row>
    <row r="32" spans="1:4" ht="15" customHeight="1" x14ac:dyDescent="0.35">
      <c r="A32" s="11" t="s">
        <v>221</v>
      </c>
      <c r="B32" s="5"/>
      <c r="C32" s="6" t="s">
        <v>488</v>
      </c>
      <c r="D32" s="4" t="s">
        <v>490</v>
      </c>
    </row>
    <row r="33" spans="1:4" s="28" customFormat="1" ht="75" customHeight="1" x14ac:dyDescent="0.35">
      <c r="A33" s="16" t="s">
        <v>222</v>
      </c>
      <c r="B33" s="17"/>
      <c r="C33" s="18" t="s">
        <v>197</v>
      </c>
      <c r="D33" s="15" t="s">
        <v>722</v>
      </c>
    </row>
    <row r="34" spans="1:4" s="28" customFormat="1" ht="45" customHeight="1" x14ac:dyDescent="0.35">
      <c r="A34" s="16" t="s">
        <v>223</v>
      </c>
      <c r="B34" s="17"/>
      <c r="C34" s="18" t="s">
        <v>187</v>
      </c>
      <c r="D34" s="15" t="s">
        <v>711</v>
      </c>
    </row>
    <row r="36" spans="1:4" ht="15" customHeight="1" x14ac:dyDescent="0.35">
      <c r="A36" s="11" t="s">
        <v>224</v>
      </c>
      <c r="B36" s="5"/>
      <c r="C36" s="6" t="s">
        <v>491</v>
      </c>
      <c r="D36" s="32" t="s">
        <v>717</v>
      </c>
    </row>
    <row r="37" spans="1:4" ht="15" customHeight="1" x14ac:dyDescent="0.35">
      <c r="A37" s="11" t="s">
        <v>225</v>
      </c>
      <c r="B37" s="5"/>
      <c r="C37" s="6" t="s">
        <v>492</v>
      </c>
      <c r="D37" s="32" t="s">
        <v>718</v>
      </c>
    </row>
    <row r="38" spans="1:4" ht="15" customHeight="1" x14ac:dyDescent="0.35">
      <c r="A38" s="11" t="s">
        <v>226</v>
      </c>
      <c r="B38" s="5"/>
      <c r="C38" s="6" t="s">
        <v>379</v>
      </c>
      <c r="D38" s="4" t="s">
        <v>719</v>
      </c>
    </row>
    <row r="39" spans="1:4" ht="15" customHeight="1" x14ac:dyDescent="0.35">
      <c r="A39" s="11" t="s">
        <v>227</v>
      </c>
      <c r="B39" s="5"/>
      <c r="C39" s="6" t="s">
        <v>376</v>
      </c>
      <c r="D39" s="4" t="s">
        <v>720</v>
      </c>
    </row>
    <row r="40" spans="1:4" ht="15" customHeight="1" x14ac:dyDescent="0.35">
      <c r="A40" s="11" t="s">
        <v>228</v>
      </c>
      <c r="B40" s="5"/>
      <c r="C40" s="6" t="s">
        <v>558</v>
      </c>
      <c r="D40" s="4" t="s">
        <v>721</v>
      </c>
    </row>
    <row r="41" spans="1:4" ht="15" customHeight="1" x14ac:dyDescent="0.35">
      <c r="A41" s="11" t="s">
        <v>229</v>
      </c>
      <c r="B41" s="5"/>
      <c r="C41" s="6" t="s">
        <v>198</v>
      </c>
      <c r="D41" s="4" t="s">
        <v>206</v>
      </c>
    </row>
    <row r="42" spans="1:4" ht="15" customHeight="1" x14ac:dyDescent="0.35">
      <c r="A42" s="11" t="s">
        <v>230</v>
      </c>
      <c r="B42" s="5"/>
      <c r="C42" s="6" t="s">
        <v>186</v>
      </c>
      <c r="D42" s="4" t="s">
        <v>713</v>
      </c>
    </row>
    <row r="43" spans="1:4" ht="15" customHeight="1" x14ac:dyDescent="0.35">
      <c r="A43" s="11" t="s">
        <v>231</v>
      </c>
      <c r="B43" s="5"/>
      <c r="C43" s="6" t="s">
        <v>484</v>
      </c>
      <c r="D43" s="4" t="s">
        <v>486</v>
      </c>
    </row>
    <row r="44" spans="1:4" ht="15" customHeight="1" x14ac:dyDescent="0.35">
      <c r="A44" s="11" t="s">
        <v>232</v>
      </c>
      <c r="B44" s="5"/>
      <c r="C44" s="6" t="s">
        <v>488</v>
      </c>
      <c r="D44" s="4" t="s">
        <v>490</v>
      </c>
    </row>
    <row r="45" spans="1:4" s="28" customFormat="1" ht="75" customHeight="1" x14ac:dyDescent="0.35">
      <c r="A45" s="16" t="s">
        <v>233</v>
      </c>
      <c r="B45" s="17"/>
      <c r="C45" s="18" t="s">
        <v>197</v>
      </c>
      <c r="D45" s="15" t="s">
        <v>715</v>
      </c>
    </row>
    <row r="46" spans="1:4" s="28" customFormat="1" ht="45" customHeight="1" x14ac:dyDescent="0.35">
      <c r="A46" s="16" t="s">
        <v>234</v>
      </c>
      <c r="B46" s="17"/>
      <c r="C46" s="18" t="s">
        <v>187</v>
      </c>
      <c r="D46" s="15" t="s">
        <v>716</v>
      </c>
    </row>
    <row r="48" spans="1:4" ht="15" customHeight="1" x14ac:dyDescent="0.35">
      <c r="A48" s="11" t="s">
        <v>235</v>
      </c>
      <c r="B48" s="5"/>
      <c r="C48" s="6" t="s">
        <v>491</v>
      </c>
      <c r="D48" s="32" t="s">
        <v>727</v>
      </c>
    </row>
    <row r="49" spans="1:4" ht="15" customHeight="1" x14ac:dyDescent="0.35">
      <c r="A49" s="11" t="s">
        <v>236</v>
      </c>
      <c r="B49" s="5"/>
      <c r="C49" s="6" t="s">
        <v>492</v>
      </c>
      <c r="D49" s="32" t="s">
        <v>728</v>
      </c>
    </row>
    <row r="50" spans="1:4" ht="15" customHeight="1" x14ac:dyDescent="0.35">
      <c r="A50" s="11" t="s">
        <v>237</v>
      </c>
      <c r="B50" s="5"/>
      <c r="C50" s="6" t="s">
        <v>380</v>
      </c>
      <c r="D50" s="4" t="s">
        <v>723</v>
      </c>
    </row>
    <row r="51" spans="1:4" ht="15" customHeight="1" x14ac:dyDescent="0.35">
      <c r="A51" s="11" t="s">
        <v>238</v>
      </c>
      <c r="B51" s="5"/>
      <c r="C51" s="6" t="s">
        <v>376</v>
      </c>
      <c r="D51" s="4" t="s">
        <v>725</v>
      </c>
    </row>
    <row r="52" spans="1:4" ht="15" customHeight="1" x14ac:dyDescent="0.35">
      <c r="A52" s="11" t="s">
        <v>239</v>
      </c>
      <c r="B52" s="5"/>
      <c r="C52" s="6" t="s">
        <v>558</v>
      </c>
      <c r="D52" s="4" t="s">
        <v>726</v>
      </c>
    </row>
    <row r="53" spans="1:4" ht="15" customHeight="1" x14ac:dyDescent="0.35">
      <c r="A53" s="11" t="s">
        <v>240</v>
      </c>
      <c r="B53" s="5"/>
      <c r="C53" s="6" t="s">
        <v>198</v>
      </c>
      <c r="D53" s="4" t="s">
        <v>206</v>
      </c>
    </row>
    <row r="54" spans="1:4" ht="15" customHeight="1" x14ac:dyDescent="0.35">
      <c r="A54" s="11" t="s">
        <v>241</v>
      </c>
      <c r="B54" s="5"/>
      <c r="C54" s="6" t="s">
        <v>186</v>
      </c>
      <c r="D54" s="4" t="s">
        <v>713</v>
      </c>
    </row>
    <row r="55" spans="1:4" ht="15" customHeight="1" x14ac:dyDescent="0.35">
      <c r="A55" s="11" t="s">
        <v>242</v>
      </c>
      <c r="B55" s="5"/>
      <c r="C55" s="6" t="s">
        <v>484</v>
      </c>
      <c r="D55" s="4" t="s">
        <v>486</v>
      </c>
    </row>
    <row r="56" spans="1:4" ht="15" customHeight="1" x14ac:dyDescent="0.35">
      <c r="A56" s="11" t="s">
        <v>243</v>
      </c>
      <c r="B56" s="5"/>
      <c r="C56" s="6" t="s">
        <v>488</v>
      </c>
      <c r="D56" s="4" t="s">
        <v>490</v>
      </c>
    </row>
    <row r="57" spans="1:4" s="28" customFormat="1" ht="75" customHeight="1" x14ac:dyDescent="0.35">
      <c r="A57" s="16" t="s">
        <v>244</v>
      </c>
      <c r="B57" s="17"/>
      <c r="C57" s="18" t="s">
        <v>197</v>
      </c>
      <c r="D57" s="15" t="s">
        <v>776</v>
      </c>
    </row>
    <row r="58" spans="1:4" s="28" customFormat="1" ht="45" customHeight="1" x14ac:dyDescent="0.35">
      <c r="A58" s="16" t="s">
        <v>245</v>
      </c>
      <c r="B58" s="17"/>
      <c r="C58" s="18" t="s">
        <v>187</v>
      </c>
      <c r="D58" s="15" t="s">
        <v>724</v>
      </c>
    </row>
    <row r="60" spans="1:4" ht="15" customHeight="1" x14ac:dyDescent="0.35">
      <c r="A60" s="11" t="s">
        <v>246</v>
      </c>
      <c r="B60" s="5"/>
      <c r="C60" s="6" t="s">
        <v>491</v>
      </c>
      <c r="D60" s="32" t="s">
        <v>733</v>
      </c>
    </row>
    <row r="61" spans="1:4" ht="15" customHeight="1" x14ac:dyDescent="0.35">
      <c r="A61" s="11" t="s">
        <v>247</v>
      </c>
      <c r="B61" s="5"/>
      <c r="C61" s="6" t="s">
        <v>492</v>
      </c>
      <c r="D61" s="32" t="s">
        <v>734</v>
      </c>
    </row>
    <row r="62" spans="1:4" ht="15" customHeight="1" x14ac:dyDescent="0.35">
      <c r="A62" s="11" t="s">
        <v>248</v>
      </c>
      <c r="B62" s="5"/>
      <c r="C62" s="6" t="s">
        <v>381</v>
      </c>
      <c r="D62" s="4" t="s">
        <v>730</v>
      </c>
    </row>
    <row r="63" spans="1:4" ht="15" customHeight="1" x14ac:dyDescent="0.35">
      <c r="A63" s="11" t="s">
        <v>249</v>
      </c>
      <c r="B63" s="5"/>
      <c r="C63" s="6" t="s">
        <v>376</v>
      </c>
      <c r="D63" s="4" t="s">
        <v>731</v>
      </c>
    </row>
    <row r="64" spans="1:4" ht="15" customHeight="1" x14ac:dyDescent="0.35">
      <c r="A64" s="11" t="s">
        <v>250</v>
      </c>
      <c r="B64" s="5"/>
      <c r="C64" s="6" t="s">
        <v>558</v>
      </c>
      <c r="D64" s="4" t="s">
        <v>732</v>
      </c>
    </row>
    <row r="65" spans="1:4" ht="15" customHeight="1" x14ac:dyDescent="0.35">
      <c r="A65" s="11" t="s">
        <v>251</v>
      </c>
      <c r="B65" s="5"/>
      <c r="C65" s="6" t="s">
        <v>198</v>
      </c>
      <c r="D65" s="4" t="s">
        <v>206</v>
      </c>
    </row>
    <row r="66" spans="1:4" ht="15" customHeight="1" x14ac:dyDescent="0.35">
      <c r="A66" s="11" t="s">
        <v>252</v>
      </c>
      <c r="B66" s="5"/>
      <c r="C66" s="6" t="s">
        <v>186</v>
      </c>
      <c r="D66" s="4" t="s">
        <v>713</v>
      </c>
    </row>
    <row r="67" spans="1:4" ht="15" customHeight="1" x14ac:dyDescent="0.35">
      <c r="A67" s="11" t="s">
        <v>253</v>
      </c>
      <c r="B67" s="5"/>
      <c r="C67" s="6" t="s">
        <v>484</v>
      </c>
      <c r="D67" s="4" t="s">
        <v>486</v>
      </c>
    </row>
    <row r="68" spans="1:4" ht="15" customHeight="1" x14ac:dyDescent="0.35">
      <c r="A68" s="11" t="s">
        <v>254</v>
      </c>
      <c r="B68" s="5"/>
      <c r="C68" s="6" t="s">
        <v>488</v>
      </c>
      <c r="D68" s="4" t="s">
        <v>490</v>
      </c>
    </row>
    <row r="69" spans="1:4" s="28" customFormat="1" ht="75" customHeight="1" x14ac:dyDescent="0.35">
      <c r="A69" s="16" t="s">
        <v>255</v>
      </c>
      <c r="B69" s="17"/>
      <c r="C69" s="18" t="s">
        <v>197</v>
      </c>
      <c r="D69" s="15" t="s">
        <v>777</v>
      </c>
    </row>
    <row r="70" spans="1:4" s="28" customFormat="1" ht="45" customHeight="1" x14ac:dyDescent="0.35">
      <c r="A70" s="16" t="s">
        <v>256</v>
      </c>
      <c r="B70" s="17"/>
      <c r="C70" s="18" t="s">
        <v>187</v>
      </c>
      <c r="D70" s="15" t="s">
        <v>729</v>
      </c>
    </row>
    <row r="72" spans="1:4" ht="15" customHeight="1" x14ac:dyDescent="0.35">
      <c r="A72" s="11" t="s">
        <v>257</v>
      </c>
      <c r="B72" s="5"/>
      <c r="C72" s="6" t="s">
        <v>491</v>
      </c>
      <c r="D72" s="32" t="s">
        <v>739</v>
      </c>
    </row>
    <row r="73" spans="1:4" ht="15" customHeight="1" x14ac:dyDescent="0.35">
      <c r="A73" s="11" t="s">
        <v>258</v>
      </c>
      <c r="B73" s="5"/>
      <c r="C73" s="6" t="s">
        <v>492</v>
      </c>
      <c r="D73" s="32" t="s">
        <v>740</v>
      </c>
    </row>
    <row r="74" spans="1:4" ht="15" customHeight="1" x14ac:dyDescent="0.35">
      <c r="A74" s="11" t="s">
        <v>259</v>
      </c>
      <c r="B74" s="5"/>
      <c r="C74" s="6" t="s">
        <v>382</v>
      </c>
      <c r="D74" s="4" t="s">
        <v>738</v>
      </c>
    </row>
    <row r="75" spans="1:4" ht="15" customHeight="1" x14ac:dyDescent="0.35">
      <c r="A75" s="11" t="s">
        <v>260</v>
      </c>
      <c r="B75" s="5"/>
      <c r="C75" s="6" t="s">
        <v>376</v>
      </c>
      <c r="D75" s="4" t="s">
        <v>679</v>
      </c>
    </row>
    <row r="76" spans="1:4" ht="15" customHeight="1" x14ac:dyDescent="0.35">
      <c r="A76" s="11" t="s">
        <v>261</v>
      </c>
      <c r="B76" s="5"/>
      <c r="C76" s="6" t="s">
        <v>558</v>
      </c>
      <c r="D76" s="4" t="s">
        <v>737</v>
      </c>
    </row>
    <row r="77" spans="1:4" ht="15" customHeight="1" x14ac:dyDescent="0.35">
      <c r="A77" s="11" t="s">
        <v>262</v>
      </c>
      <c r="B77" s="5"/>
      <c r="C77" s="6" t="s">
        <v>198</v>
      </c>
      <c r="D77" s="4" t="s">
        <v>206</v>
      </c>
    </row>
    <row r="78" spans="1:4" ht="15" customHeight="1" x14ac:dyDescent="0.35">
      <c r="A78" s="11" t="s">
        <v>263</v>
      </c>
      <c r="B78" s="5"/>
      <c r="C78" s="6" t="s">
        <v>186</v>
      </c>
      <c r="D78" s="4" t="s">
        <v>736</v>
      </c>
    </row>
    <row r="79" spans="1:4" ht="15" customHeight="1" x14ac:dyDescent="0.35">
      <c r="A79" s="11" t="s">
        <v>264</v>
      </c>
      <c r="B79" s="5"/>
      <c r="C79" s="6" t="s">
        <v>484</v>
      </c>
      <c r="D79" s="4" t="s">
        <v>486</v>
      </c>
    </row>
    <row r="80" spans="1:4" ht="15" customHeight="1" x14ac:dyDescent="0.35">
      <c r="A80" s="11" t="s">
        <v>265</v>
      </c>
      <c r="B80" s="5"/>
      <c r="C80" s="6" t="s">
        <v>488</v>
      </c>
      <c r="D80" s="4" t="s">
        <v>490</v>
      </c>
    </row>
    <row r="81" spans="1:4" s="28" customFormat="1" ht="75" customHeight="1" x14ac:dyDescent="0.35">
      <c r="A81" s="16" t="s">
        <v>266</v>
      </c>
      <c r="B81" s="17"/>
      <c r="C81" s="18" t="s">
        <v>197</v>
      </c>
      <c r="D81" s="15" t="s">
        <v>778</v>
      </c>
    </row>
    <row r="82" spans="1:4" s="28" customFormat="1" ht="45" customHeight="1" x14ac:dyDescent="0.35">
      <c r="A82" s="16" t="s">
        <v>267</v>
      </c>
      <c r="B82" s="17"/>
      <c r="C82" s="18" t="s">
        <v>187</v>
      </c>
      <c r="D82" s="15" t="s">
        <v>735</v>
      </c>
    </row>
    <row r="84" spans="1:4" ht="15" customHeight="1" x14ac:dyDescent="0.35">
      <c r="A84" s="11" t="s">
        <v>268</v>
      </c>
      <c r="B84" s="5"/>
      <c r="C84" s="6" t="s">
        <v>491</v>
      </c>
      <c r="D84" s="32" t="s">
        <v>744</v>
      </c>
    </row>
    <row r="85" spans="1:4" ht="15" customHeight="1" x14ac:dyDescent="0.35">
      <c r="A85" s="11" t="s">
        <v>269</v>
      </c>
      <c r="B85" s="5"/>
      <c r="C85" s="6" t="s">
        <v>492</v>
      </c>
      <c r="D85" s="32" t="s">
        <v>745</v>
      </c>
    </row>
    <row r="86" spans="1:4" ht="15" customHeight="1" x14ac:dyDescent="0.35">
      <c r="A86" s="11" t="s">
        <v>270</v>
      </c>
      <c r="B86" s="5"/>
      <c r="C86" s="6" t="s">
        <v>383</v>
      </c>
      <c r="D86" s="4" t="s">
        <v>741</v>
      </c>
    </row>
    <row r="87" spans="1:4" ht="15" customHeight="1" x14ac:dyDescent="0.35">
      <c r="A87" s="11" t="s">
        <v>271</v>
      </c>
      <c r="B87" s="5"/>
      <c r="C87" s="6" t="s">
        <v>376</v>
      </c>
      <c r="D87" s="4" t="s">
        <v>742</v>
      </c>
    </row>
    <row r="88" spans="1:4" ht="15" customHeight="1" x14ac:dyDescent="0.35">
      <c r="A88" s="11" t="s">
        <v>272</v>
      </c>
      <c r="B88" s="5"/>
      <c r="C88" s="6" t="s">
        <v>558</v>
      </c>
      <c r="D88" s="4" t="s">
        <v>743</v>
      </c>
    </row>
    <row r="89" spans="1:4" ht="15" customHeight="1" x14ac:dyDescent="0.35">
      <c r="A89" s="11" t="s">
        <v>273</v>
      </c>
      <c r="B89" s="5"/>
      <c r="C89" s="6" t="s">
        <v>198</v>
      </c>
      <c r="D89" s="4" t="s">
        <v>206</v>
      </c>
    </row>
    <row r="90" spans="1:4" ht="15" customHeight="1" x14ac:dyDescent="0.35">
      <c r="A90" s="11" t="s">
        <v>274</v>
      </c>
      <c r="B90" s="5"/>
      <c r="C90" s="6" t="s">
        <v>186</v>
      </c>
      <c r="D90" s="4" t="s">
        <v>756</v>
      </c>
    </row>
    <row r="91" spans="1:4" ht="15" customHeight="1" x14ac:dyDescent="0.35">
      <c r="A91" s="11" t="s">
        <v>275</v>
      </c>
      <c r="B91" s="5"/>
      <c r="C91" s="6" t="s">
        <v>484</v>
      </c>
      <c r="D91" s="4" t="s">
        <v>487</v>
      </c>
    </row>
    <row r="92" spans="1:4" ht="15" customHeight="1" x14ac:dyDescent="0.35">
      <c r="A92" s="11" t="s">
        <v>276</v>
      </c>
      <c r="B92" s="5"/>
      <c r="C92" s="6" t="s">
        <v>488</v>
      </c>
      <c r="D92" s="4" t="s">
        <v>490</v>
      </c>
    </row>
    <row r="93" spans="1:4" s="28" customFormat="1" ht="75" customHeight="1" x14ac:dyDescent="0.35">
      <c r="A93" s="16" t="s">
        <v>277</v>
      </c>
      <c r="B93" s="17"/>
      <c r="C93" s="18" t="s">
        <v>197</v>
      </c>
      <c r="D93" s="15" t="s">
        <v>746</v>
      </c>
    </row>
    <row r="94" spans="1:4" s="28" customFormat="1" ht="45" customHeight="1" x14ac:dyDescent="0.35">
      <c r="A94" s="16" t="s">
        <v>278</v>
      </c>
      <c r="B94" s="17"/>
      <c r="C94" s="18" t="s">
        <v>187</v>
      </c>
      <c r="D94" s="15" t="s">
        <v>779</v>
      </c>
    </row>
    <row r="96" spans="1:4" ht="15" customHeight="1" x14ac:dyDescent="0.35">
      <c r="A96" s="11" t="s">
        <v>279</v>
      </c>
      <c r="B96" s="5"/>
      <c r="C96" s="6" t="s">
        <v>491</v>
      </c>
      <c r="D96" s="32" t="s">
        <v>752</v>
      </c>
    </row>
    <row r="97" spans="1:4" ht="15" customHeight="1" x14ac:dyDescent="0.35">
      <c r="A97" s="11" t="s">
        <v>280</v>
      </c>
      <c r="B97" s="5"/>
      <c r="C97" s="6" t="s">
        <v>492</v>
      </c>
      <c r="D97" s="32" t="s">
        <v>744</v>
      </c>
    </row>
    <row r="98" spans="1:4" ht="15" customHeight="1" x14ac:dyDescent="0.35">
      <c r="A98" s="11" t="s">
        <v>281</v>
      </c>
      <c r="B98" s="5"/>
      <c r="C98" s="6" t="s">
        <v>384</v>
      </c>
      <c r="D98" s="4" t="s">
        <v>751</v>
      </c>
    </row>
    <row r="99" spans="1:4" ht="15" customHeight="1" x14ac:dyDescent="0.35">
      <c r="A99" s="11" t="s">
        <v>282</v>
      </c>
      <c r="B99" s="5"/>
      <c r="C99" s="6" t="s">
        <v>376</v>
      </c>
      <c r="D99" s="4" t="s">
        <v>750</v>
      </c>
    </row>
    <row r="100" spans="1:4" ht="15" customHeight="1" x14ac:dyDescent="0.35">
      <c r="A100" s="11" t="s">
        <v>283</v>
      </c>
      <c r="B100" s="5"/>
      <c r="C100" s="6" t="s">
        <v>558</v>
      </c>
      <c r="D100" s="4" t="s">
        <v>749</v>
      </c>
    </row>
    <row r="101" spans="1:4" ht="15" customHeight="1" x14ac:dyDescent="0.35">
      <c r="A101" s="11" t="s">
        <v>284</v>
      </c>
      <c r="B101" s="5"/>
      <c r="C101" s="6" t="s">
        <v>198</v>
      </c>
      <c r="D101" s="4" t="s">
        <v>206</v>
      </c>
    </row>
    <row r="102" spans="1:4" ht="15" customHeight="1" x14ac:dyDescent="0.35">
      <c r="A102" s="11" t="s">
        <v>285</v>
      </c>
      <c r="B102" s="5"/>
      <c r="C102" s="6" t="s">
        <v>186</v>
      </c>
      <c r="D102" s="4" t="s">
        <v>755</v>
      </c>
    </row>
    <row r="103" spans="1:4" ht="15" customHeight="1" x14ac:dyDescent="0.35">
      <c r="A103" s="11" t="s">
        <v>286</v>
      </c>
      <c r="B103" s="5"/>
      <c r="C103" s="6" t="s">
        <v>484</v>
      </c>
      <c r="D103" s="4" t="s">
        <v>486</v>
      </c>
    </row>
    <row r="104" spans="1:4" ht="15" customHeight="1" x14ac:dyDescent="0.35">
      <c r="A104" s="11" t="s">
        <v>287</v>
      </c>
      <c r="B104" s="5"/>
      <c r="C104" s="6" t="s">
        <v>488</v>
      </c>
      <c r="D104" s="4" t="s">
        <v>353</v>
      </c>
    </row>
    <row r="105" spans="1:4" s="28" customFormat="1" ht="75" customHeight="1" x14ac:dyDescent="0.35">
      <c r="A105" s="16" t="s">
        <v>288</v>
      </c>
      <c r="B105" s="17"/>
      <c r="C105" s="18" t="s">
        <v>197</v>
      </c>
      <c r="D105" s="15" t="s">
        <v>747</v>
      </c>
    </row>
    <row r="106" spans="1:4" s="28" customFormat="1" ht="45" customHeight="1" x14ac:dyDescent="0.35">
      <c r="A106" s="16" t="s">
        <v>289</v>
      </c>
      <c r="B106" s="17"/>
      <c r="C106" s="18" t="s">
        <v>187</v>
      </c>
      <c r="D106" s="15" t="s">
        <v>748</v>
      </c>
    </row>
    <row r="108" spans="1:4" ht="15" customHeight="1" x14ac:dyDescent="0.35">
      <c r="A108" s="11" t="s">
        <v>290</v>
      </c>
      <c r="B108" s="5"/>
      <c r="C108" s="6" t="s">
        <v>491</v>
      </c>
      <c r="D108" s="32" t="s">
        <v>760</v>
      </c>
    </row>
    <row r="109" spans="1:4" ht="15" customHeight="1" x14ac:dyDescent="0.35">
      <c r="A109" s="11" t="s">
        <v>291</v>
      </c>
      <c r="B109" s="5"/>
      <c r="C109" s="6" t="s">
        <v>492</v>
      </c>
      <c r="D109" s="32" t="s">
        <v>761</v>
      </c>
    </row>
    <row r="110" spans="1:4" ht="15" customHeight="1" x14ac:dyDescent="0.35">
      <c r="A110" s="11" t="s">
        <v>327</v>
      </c>
      <c r="B110" s="5"/>
      <c r="C110" s="6" t="s">
        <v>385</v>
      </c>
      <c r="D110" s="4" t="s">
        <v>759</v>
      </c>
    </row>
    <row r="111" spans="1:4" ht="15" customHeight="1" x14ac:dyDescent="0.35">
      <c r="A111" s="11" t="s">
        <v>328</v>
      </c>
      <c r="B111" s="5"/>
      <c r="C111" s="6" t="s">
        <v>376</v>
      </c>
      <c r="D111" s="4" t="s">
        <v>758</v>
      </c>
    </row>
    <row r="112" spans="1:4" ht="15" customHeight="1" x14ac:dyDescent="0.35">
      <c r="A112" s="11" t="s">
        <v>329</v>
      </c>
      <c r="B112" s="5"/>
      <c r="C112" s="6" t="s">
        <v>558</v>
      </c>
      <c r="D112" s="4" t="s">
        <v>757</v>
      </c>
    </row>
    <row r="113" spans="1:4" ht="15" customHeight="1" x14ac:dyDescent="0.35">
      <c r="A113" s="11" t="s">
        <v>330</v>
      </c>
      <c r="B113" s="5"/>
      <c r="C113" s="6" t="s">
        <v>198</v>
      </c>
      <c r="D113" s="4" t="s">
        <v>205</v>
      </c>
    </row>
    <row r="114" spans="1:4" ht="15" customHeight="1" x14ac:dyDescent="0.35">
      <c r="A114" s="11" t="s">
        <v>331</v>
      </c>
      <c r="B114" s="5"/>
      <c r="C114" s="6" t="s">
        <v>186</v>
      </c>
      <c r="D114" s="4" t="s">
        <v>765</v>
      </c>
    </row>
    <row r="115" spans="1:4" ht="15" customHeight="1" x14ac:dyDescent="0.35">
      <c r="A115" s="11" t="s">
        <v>332</v>
      </c>
      <c r="B115" s="5"/>
      <c r="C115" s="6" t="s">
        <v>484</v>
      </c>
      <c r="D115" s="4" t="s">
        <v>487</v>
      </c>
    </row>
    <row r="116" spans="1:4" ht="15" customHeight="1" x14ac:dyDescent="0.35">
      <c r="A116" s="11" t="s">
        <v>333</v>
      </c>
      <c r="B116" s="5"/>
      <c r="C116" s="6" t="s">
        <v>488</v>
      </c>
      <c r="D116" s="4" t="s">
        <v>353</v>
      </c>
    </row>
    <row r="117" spans="1:4" s="28" customFormat="1" ht="75" customHeight="1" x14ac:dyDescent="0.35">
      <c r="A117" s="16" t="s">
        <v>334</v>
      </c>
      <c r="B117" s="17"/>
      <c r="C117" s="18" t="s">
        <v>197</v>
      </c>
      <c r="D117" s="15" t="s">
        <v>753</v>
      </c>
    </row>
    <row r="118" spans="1:4" s="28" customFormat="1" ht="45" customHeight="1" x14ac:dyDescent="0.35">
      <c r="A118" s="16" t="s">
        <v>335</v>
      </c>
      <c r="B118" s="17"/>
      <c r="C118" s="18" t="s">
        <v>187</v>
      </c>
      <c r="D118" s="15" t="s">
        <v>754</v>
      </c>
    </row>
    <row r="120" spans="1:4" ht="15" customHeight="1" x14ac:dyDescent="0.35">
      <c r="A120" s="11" t="s">
        <v>336</v>
      </c>
      <c r="B120" s="5"/>
      <c r="C120" s="6" t="s">
        <v>491</v>
      </c>
      <c r="D120" s="32" t="s">
        <v>767</v>
      </c>
    </row>
    <row r="121" spans="1:4" ht="15" customHeight="1" x14ac:dyDescent="0.35">
      <c r="A121" s="11" t="s">
        <v>337</v>
      </c>
      <c r="B121" s="5"/>
      <c r="C121" s="6" t="s">
        <v>492</v>
      </c>
      <c r="D121" s="32" t="s">
        <v>768</v>
      </c>
    </row>
    <row r="122" spans="1:4" ht="15" customHeight="1" x14ac:dyDescent="0.35">
      <c r="A122" s="11" t="s">
        <v>338</v>
      </c>
      <c r="B122" s="5"/>
      <c r="C122" s="6" t="s">
        <v>386</v>
      </c>
      <c r="D122" s="4" t="s">
        <v>766</v>
      </c>
    </row>
    <row r="123" spans="1:4" ht="15" customHeight="1" x14ac:dyDescent="0.35">
      <c r="A123" s="11" t="s">
        <v>339</v>
      </c>
      <c r="B123" s="5"/>
      <c r="C123" s="6" t="s">
        <v>376</v>
      </c>
      <c r="D123" s="4" t="s">
        <v>758</v>
      </c>
    </row>
    <row r="124" spans="1:4" ht="15" customHeight="1" x14ac:dyDescent="0.35">
      <c r="A124" s="11" t="s">
        <v>340</v>
      </c>
      <c r="B124" s="5"/>
      <c r="C124" s="6" t="s">
        <v>558</v>
      </c>
      <c r="D124" s="4" t="s">
        <v>757</v>
      </c>
    </row>
    <row r="125" spans="1:4" ht="15" customHeight="1" x14ac:dyDescent="0.35">
      <c r="A125" s="11" t="s">
        <v>341</v>
      </c>
      <c r="B125" s="5"/>
      <c r="C125" s="6" t="s">
        <v>198</v>
      </c>
      <c r="D125" s="4" t="s">
        <v>206</v>
      </c>
    </row>
    <row r="126" spans="1:4" ht="15" customHeight="1" x14ac:dyDescent="0.35">
      <c r="A126" s="11" t="s">
        <v>342</v>
      </c>
      <c r="B126" s="5"/>
      <c r="C126" s="6" t="s">
        <v>186</v>
      </c>
      <c r="D126" s="4" t="s">
        <v>765</v>
      </c>
    </row>
    <row r="127" spans="1:4" ht="15" customHeight="1" x14ac:dyDescent="0.35">
      <c r="A127" s="11" t="s">
        <v>343</v>
      </c>
      <c r="B127" s="5"/>
      <c r="C127" s="6" t="s">
        <v>484</v>
      </c>
      <c r="D127" s="4" t="s">
        <v>486</v>
      </c>
    </row>
    <row r="128" spans="1:4" ht="15" customHeight="1" x14ac:dyDescent="0.35">
      <c r="A128" s="11" t="s">
        <v>344</v>
      </c>
      <c r="B128" s="5"/>
      <c r="C128" s="6" t="s">
        <v>488</v>
      </c>
      <c r="D128" s="4" t="s">
        <v>353</v>
      </c>
    </row>
    <row r="129" spans="1:4" s="28" customFormat="1" ht="75" customHeight="1" x14ac:dyDescent="0.35">
      <c r="A129" s="16" t="s">
        <v>345</v>
      </c>
      <c r="B129" s="17"/>
      <c r="C129" s="18" t="s">
        <v>197</v>
      </c>
      <c r="D129" s="15" t="s">
        <v>763</v>
      </c>
    </row>
    <row r="130" spans="1:4" s="28" customFormat="1" ht="45" customHeight="1" x14ac:dyDescent="0.35">
      <c r="A130" s="16" t="s">
        <v>346</v>
      </c>
      <c r="B130" s="17"/>
      <c r="C130" s="18" t="s">
        <v>187</v>
      </c>
      <c r="D130" s="15" t="s">
        <v>764</v>
      </c>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127 D43 D55 D67 D79 D91">
      <formula1>elenco_ambito_attivita</formula1>
    </dataValidation>
    <dataValidation type="list" allowBlank="1" showInputMessage="1" showErrorMessage="1" sqref="D20 D128 D44 D56 D68 D80 D92 D104 D116">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topLeftCell="A23" zoomScaleNormal="100" workbookViewId="0">
      <selection activeCell="D34" sqref="D34"/>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210</v>
      </c>
      <c r="D6" s="36"/>
    </row>
    <row r="7" spans="1:4" ht="15" customHeight="1" x14ac:dyDescent="0.35">
      <c r="A7" s="11" t="s">
        <v>121</v>
      </c>
      <c r="B7" s="5"/>
      <c r="C7" s="6" t="s">
        <v>105</v>
      </c>
      <c r="D7" s="12" t="str">
        <f>candidatura</f>
        <v xml:space="preserve">Andrea Sardi; </v>
      </c>
    </row>
    <row r="8" spans="1:4" ht="15" customHeight="1" x14ac:dyDescent="0.35">
      <c r="A8" s="11"/>
      <c r="B8" s="5"/>
      <c r="C8" s="5"/>
      <c r="D8" s="5"/>
    </row>
    <row r="9" spans="1:4" ht="20" x14ac:dyDescent="0.35">
      <c r="A9" s="11"/>
      <c r="B9" s="5"/>
      <c r="C9" s="33" t="s">
        <v>660</v>
      </c>
      <c r="D9" s="33"/>
    </row>
    <row r="10" spans="1:4" ht="30" customHeight="1" x14ac:dyDescent="0.35">
      <c r="A10" s="11"/>
      <c r="B10" s="5"/>
      <c r="C10" s="37" t="s">
        <v>478</v>
      </c>
      <c r="D10" s="37"/>
    </row>
    <row r="11" spans="1:4" ht="15" customHeight="1" x14ac:dyDescent="0.35">
      <c r="A11" s="11"/>
      <c r="B11" s="5"/>
      <c r="C11" s="5"/>
      <c r="D11" s="5"/>
    </row>
    <row r="12" spans="1:4" ht="15" customHeight="1" x14ac:dyDescent="0.35">
      <c r="A12" s="11" t="s">
        <v>402</v>
      </c>
      <c r="B12" s="5"/>
      <c r="C12" s="6" t="s">
        <v>387</v>
      </c>
      <c r="D12" s="4" t="s">
        <v>693</v>
      </c>
    </row>
    <row r="13" spans="1:4" ht="15" customHeight="1" x14ac:dyDescent="0.35">
      <c r="A13" s="11" t="s">
        <v>403</v>
      </c>
      <c r="B13" s="5"/>
      <c r="C13" s="6" t="s">
        <v>388</v>
      </c>
      <c r="D13" s="4" t="s">
        <v>392</v>
      </c>
    </row>
    <row r="14" spans="1:4" ht="15" customHeight="1" x14ac:dyDescent="0.35">
      <c r="A14" s="11" t="s">
        <v>404</v>
      </c>
      <c r="B14" s="5"/>
      <c r="C14" s="6" t="s">
        <v>389</v>
      </c>
      <c r="D14" s="4" t="s">
        <v>395</v>
      </c>
    </row>
    <row r="15" spans="1:4" ht="60" customHeight="1" x14ac:dyDescent="0.35">
      <c r="A15" s="16" t="s">
        <v>405</v>
      </c>
      <c r="B15" s="17"/>
      <c r="C15" s="18" t="s">
        <v>671</v>
      </c>
      <c r="D15" s="15" t="s">
        <v>701</v>
      </c>
    </row>
    <row r="16" spans="1:4" ht="60" customHeight="1" x14ac:dyDescent="0.35">
      <c r="A16" s="16" t="s">
        <v>406</v>
      </c>
      <c r="B16" s="17"/>
      <c r="C16" s="18" t="s">
        <v>672</v>
      </c>
      <c r="D16" s="15" t="s">
        <v>702</v>
      </c>
    </row>
    <row r="17" spans="1:4" ht="15" customHeight="1" x14ac:dyDescent="0.35">
      <c r="A17" s="11" t="s">
        <v>407</v>
      </c>
      <c r="B17" s="5"/>
      <c r="C17" s="6" t="s">
        <v>348</v>
      </c>
      <c r="D17" s="4" t="s">
        <v>694</v>
      </c>
    </row>
    <row r="18" spans="1:4" ht="15" customHeight="1" x14ac:dyDescent="0.35">
      <c r="A18" s="11" t="s">
        <v>408</v>
      </c>
      <c r="B18" s="5"/>
      <c r="C18" s="6" t="s">
        <v>390</v>
      </c>
      <c r="D18" s="4" t="s">
        <v>397</v>
      </c>
    </row>
    <row r="19" spans="1:4" ht="15" customHeight="1" x14ac:dyDescent="0.35">
      <c r="A19" s="11" t="s">
        <v>409</v>
      </c>
      <c r="B19" s="5"/>
      <c r="C19" s="6" t="s">
        <v>391</v>
      </c>
      <c r="D19" s="4" t="s">
        <v>302</v>
      </c>
    </row>
    <row r="20" spans="1:4" ht="15" customHeight="1" x14ac:dyDescent="0.35">
      <c r="A20" s="11"/>
      <c r="B20" s="5"/>
      <c r="C20" s="5"/>
      <c r="D20" s="5"/>
    </row>
    <row r="21" spans="1:4" ht="15" customHeight="1" x14ac:dyDescent="0.35">
      <c r="A21" s="11" t="s">
        <v>410</v>
      </c>
      <c r="B21" s="5"/>
      <c r="C21" s="6" t="s">
        <v>387</v>
      </c>
      <c r="D21" s="4" t="s">
        <v>695</v>
      </c>
    </row>
    <row r="22" spans="1:4" ht="15" customHeight="1" x14ac:dyDescent="0.35">
      <c r="A22" s="11" t="s">
        <v>411</v>
      </c>
      <c r="B22" s="5"/>
      <c r="C22" s="6" t="s">
        <v>388</v>
      </c>
      <c r="D22" s="4" t="s">
        <v>392</v>
      </c>
    </row>
    <row r="23" spans="1:4" ht="15" customHeight="1" x14ac:dyDescent="0.35">
      <c r="A23" s="11" t="s">
        <v>412</v>
      </c>
      <c r="B23" s="5"/>
      <c r="C23" s="6" t="s">
        <v>389</v>
      </c>
      <c r="D23" s="4" t="s">
        <v>395</v>
      </c>
    </row>
    <row r="24" spans="1:4" ht="60" customHeight="1" x14ac:dyDescent="0.35">
      <c r="A24" s="16" t="s">
        <v>413</v>
      </c>
      <c r="B24" s="17"/>
      <c r="C24" s="18" t="s">
        <v>673</v>
      </c>
      <c r="D24" s="15" t="s">
        <v>701</v>
      </c>
    </row>
    <row r="25" spans="1:4" ht="60" customHeight="1" x14ac:dyDescent="0.35">
      <c r="A25" s="16" t="s">
        <v>414</v>
      </c>
      <c r="B25" s="17"/>
      <c r="C25" s="18" t="s">
        <v>672</v>
      </c>
      <c r="D25" s="15" t="s">
        <v>700</v>
      </c>
    </row>
    <row r="26" spans="1:4" ht="15" customHeight="1" x14ac:dyDescent="0.35">
      <c r="A26" s="11" t="s">
        <v>415</v>
      </c>
      <c r="B26" s="5"/>
      <c r="C26" s="6" t="s">
        <v>348</v>
      </c>
      <c r="D26" s="4" t="s">
        <v>696</v>
      </c>
    </row>
    <row r="27" spans="1:4" ht="15" customHeight="1" x14ac:dyDescent="0.35">
      <c r="A27" s="11" t="s">
        <v>416</v>
      </c>
      <c r="B27" s="5"/>
      <c r="C27" s="6" t="s">
        <v>390</v>
      </c>
      <c r="D27" s="4" t="s">
        <v>397</v>
      </c>
    </row>
    <row r="28" spans="1:4" ht="15" customHeight="1" x14ac:dyDescent="0.35">
      <c r="A28" s="11" t="s">
        <v>417</v>
      </c>
      <c r="B28" s="5"/>
      <c r="C28" s="6" t="s">
        <v>391</v>
      </c>
      <c r="D28" s="4" t="s">
        <v>301</v>
      </c>
    </row>
    <row r="29" spans="1:4" ht="15" customHeight="1" x14ac:dyDescent="0.35">
      <c r="A29" s="11"/>
      <c r="B29" s="5"/>
      <c r="C29" s="5"/>
      <c r="D29" s="5"/>
    </row>
    <row r="30" spans="1:4" ht="15" customHeight="1" x14ac:dyDescent="0.35">
      <c r="A30" s="11" t="s">
        <v>418</v>
      </c>
      <c r="B30" s="5"/>
      <c r="C30" s="6" t="s">
        <v>387</v>
      </c>
      <c r="D30" s="4" t="s">
        <v>695</v>
      </c>
    </row>
    <row r="31" spans="1:4" ht="15" customHeight="1" x14ac:dyDescent="0.35">
      <c r="A31" s="11" t="s">
        <v>419</v>
      </c>
      <c r="B31" s="5"/>
      <c r="C31" s="6" t="s">
        <v>388</v>
      </c>
      <c r="D31" s="4" t="s">
        <v>392</v>
      </c>
    </row>
    <row r="32" spans="1:4" ht="15" customHeight="1" x14ac:dyDescent="0.35">
      <c r="A32" s="11" t="s">
        <v>420</v>
      </c>
      <c r="B32" s="5"/>
      <c r="C32" s="6" t="s">
        <v>389</v>
      </c>
      <c r="D32" s="4" t="s">
        <v>395</v>
      </c>
    </row>
    <row r="33" spans="1:4" ht="60" customHeight="1" x14ac:dyDescent="0.35">
      <c r="A33" s="16" t="s">
        <v>421</v>
      </c>
      <c r="B33" s="17"/>
      <c r="C33" s="18" t="s">
        <v>674</v>
      </c>
      <c r="D33" s="15" t="s">
        <v>699</v>
      </c>
    </row>
    <row r="34" spans="1:4" ht="60" customHeight="1" x14ac:dyDescent="0.35">
      <c r="A34" s="16" t="s">
        <v>422</v>
      </c>
      <c r="B34" s="17"/>
      <c r="C34" s="18" t="s">
        <v>672</v>
      </c>
      <c r="D34" s="15" t="s">
        <v>698</v>
      </c>
    </row>
    <row r="35" spans="1:4" ht="15" customHeight="1" x14ac:dyDescent="0.35">
      <c r="A35" s="11" t="s">
        <v>423</v>
      </c>
      <c r="B35" s="5"/>
      <c r="C35" s="6" t="s">
        <v>348</v>
      </c>
      <c r="D35" s="4" t="s">
        <v>697</v>
      </c>
    </row>
    <row r="36" spans="1:4" ht="15" customHeight="1" x14ac:dyDescent="0.35">
      <c r="A36" s="11" t="s">
        <v>424</v>
      </c>
      <c r="B36" s="5"/>
      <c r="C36" s="6" t="s">
        <v>390</v>
      </c>
      <c r="D36" s="4" t="s">
        <v>397</v>
      </c>
    </row>
    <row r="37" spans="1:4" ht="15" customHeight="1" x14ac:dyDescent="0.35">
      <c r="A37" s="11" t="s">
        <v>425</v>
      </c>
      <c r="B37" s="5"/>
      <c r="C37" s="6" t="s">
        <v>391</v>
      </c>
      <c r="D37" s="4" t="s">
        <v>309</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topLeftCell="A55" zoomScaleNormal="100" workbookViewId="0">
      <selection activeCell="H64" sqref="H64"/>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122</v>
      </c>
      <c r="D6" s="36"/>
    </row>
    <row r="7" spans="1:4" ht="15" customHeight="1" x14ac:dyDescent="0.35">
      <c r="A7" s="11" t="s">
        <v>123</v>
      </c>
      <c r="B7" s="5"/>
      <c r="C7" s="6" t="s">
        <v>105</v>
      </c>
      <c r="D7" s="12" t="str">
        <f>candidatura</f>
        <v xml:space="preserve">Andrea Sardi; </v>
      </c>
    </row>
    <row r="8" spans="1:4" ht="15" customHeight="1" x14ac:dyDescent="0.35">
      <c r="A8" s="11"/>
      <c r="B8" s="5"/>
      <c r="C8" s="5"/>
      <c r="D8" s="5"/>
    </row>
    <row r="9" spans="1:4" ht="20" x14ac:dyDescent="0.35">
      <c r="A9" s="11"/>
      <c r="B9" s="5"/>
      <c r="C9" s="33" t="s">
        <v>479</v>
      </c>
      <c r="D9" s="33"/>
    </row>
    <row r="10" spans="1:4" ht="15" customHeight="1" x14ac:dyDescent="0.35">
      <c r="A10" s="11"/>
      <c r="B10" s="5"/>
      <c r="C10" s="5"/>
      <c r="D10" s="5"/>
    </row>
    <row r="11" spans="1:4" ht="15" customHeight="1" x14ac:dyDescent="0.35">
      <c r="A11" s="11" t="s">
        <v>432</v>
      </c>
      <c r="B11" s="5"/>
      <c r="C11" s="6" t="s">
        <v>353</v>
      </c>
      <c r="D11" s="12" t="str">
        <f>spec_principale</f>
        <v>AEROSPAZIO</v>
      </c>
    </row>
    <row r="12" spans="1:4" ht="15" customHeight="1" x14ac:dyDescent="0.35">
      <c r="A12" s="11" t="s">
        <v>433</v>
      </c>
      <c r="B12" s="5"/>
      <c r="C12" s="6" t="s">
        <v>355</v>
      </c>
      <c r="D12" s="12" t="str">
        <f>ads1_principale</f>
        <v xml:space="preserve">AS2 Sistemi ed equipaggiamenti innovativi </v>
      </c>
    </row>
    <row r="13" spans="1:4" ht="15" customHeight="1" x14ac:dyDescent="0.35">
      <c r="A13" s="11" t="s">
        <v>434</v>
      </c>
      <c r="B13" s="5"/>
      <c r="C13" s="6" t="s">
        <v>356</v>
      </c>
      <c r="D13" s="12" t="str">
        <f>ads1_secondaria</f>
        <v xml:space="preserve">AS5 Protezione nello spazio e dallo spazio </v>
      </c>
    </row>
    <row r="14" spans="1:4" ht="15" customHeight="1" x14ac:dyDescent="0.35">
      <c r="A14" s="11" t="s">
        <v>435</v>
      </c>
      <c r="B14" s="5"/>
      <c r="C14" s="6" t="s">
        <v>474</v>
      </c>
      <c r="D14" s="12" t="str">
        <f>ads1_terziaria</f>
        <v>AS6 Nuove piattaforme tra la terra e lo spazio</v>
      </c>
    </row>
    <row r="15" spans="1:4" ht="15" customHeight="1" x14ac:dyDescent="0.35">
      <c r="A15" s="11"/>
      <c r="B15" s="5"/>
      <c r="C15" s="5"/>
      <c r="D15" s="5"/>
    </row>
    <row r="16" spans="1:4" ht="15" customHeight="1" x14ac:dyDescent="0.35">
      <c r="A16" s="11" t="s">
        <v>436</v>
      </c>
      <c r="B16" s="5"/>
      <c r="C16" s="6" t="s">
        <v>363</v>
      </c>
      <c r="D16" s="12" t="str">
        <f>l1_tema</f>
        <v>Ingegneria Elettronica</v>
      </c>
    </row>
    <row r="17" spans="1:4" ht="15" customHeight="1" x14ac:dyDescent="0.35">
      <c r="A17" s="11" t="s">
        <v>437</v>
      </c>
      <c r="B17" s="5"/>
      <c r="C17" s="6" t="s">
        <v>364</v>
      </c>
      <c r="D17" s="12">
        <f>l2_tema</f>
        <v>0</v>
      </c>
    </row>
    <row r="18" spans="1:4" ht="15" customHeight="1" x14ac:dyDescent="0.35">
      <c r="A18" s="11" t="s">
        <v>438</v>
      </c>
      <c r="B18" s="5"/>
      <c r="C18" s="6" t="s">
        <v>365</v>
      </c>
      <c r="D18" s="12" t="str">
        <f>dot_tema</f>
        <v>Corso di Specializzazione in Missilistica</v>
      </c>
    </row>
    <row r="19" spans="1:4" ht="15" customHeight="1" x14ac:dyDescent="0.35">
      <c r="A19" s="11" t="s">
        <v>439</v>
      </c>
      <c r="B19" s="5"/>
      <c r="C19" s="6" t="s">
        <v>366</v>
      </c>
      <c r="D19" s="12" t="str">
        <f>m2l_tema</f>
        <v>Master in Business Administration</v>
      </c>
    </row>
    <row r="20" spans="1:4" ht="15" customHeight="1" x14ac:dyDescent="0.35">
      <c r="A20" s="11"/>
      <c r="B20" s="5"/>
      <c r="C20" s="5"/>
      <c r="D20" s="5"/>
    </row>
    <row r="21" spans="1:4" ht="45" customHeight="1" x14ac:dyDescent="0.35">
      <c r="A21" s="11"/>
      <c r="B21" s="5"/>
      <c r="C21" s="37" t="s">
        <v>431</v>
      </c>
      <c r="D21" s="37"/>
    </row>
    <row r="22" spans="1:4" ht="262.5" customHeight="1" x14ac:dyDescent="0.35">
      <c r="A22" s="16" t="s">
        <v>440</v>
      </c>
      <c r="B22" s="5"/>
      <c r="C22" s="27" t="s">
        <v>429</v>
      </c>
      <c r="D22" s="14" t="s">
        <v>769</v>
      </c>
    </row>
    <row r="23" spans="1:4" ht="15" customHeight="1" x14ac:dyDescent="0.35">
      <c r="A23" s="11"/>
      <c r="B23" s="5"/>
      <c r="C23" s="5"/>
      <c r="D23" s="5"/>
    </row>
    <row r="24" spans="1:4" ht="15" customHeight="1" x14ac:dyDescent="0.35">
      <c r="A24" s="11" t="s">
        <v>441</v>
      </c>
      <c r="B24" s="5"/>
      <c r="C24" s="6" t="s">
        <v>367</v>
      </c>
      <c r="D24" s="12" t="str">
        <f>ep1_denominazione</f>
        <v>Libero Professionista Consuelenza Strategica e Gestionale</v>
      </c>
    </row>
    <row r="25" spans="1:4" ht="15" customHeight="1" x14ac:dyDescent="0.35">
      <c r="A25" s="11" t="s">
        <v>442</v>
      </c>
      <c r="B25" s="5"/>
      <c r="C25" s="6" t="s">
        <v>368</v>
      </c>
      <c r="D25" s="12" t="str">
        <f>ep2_denominazione</f>
        <v>Screen Service Spa (Broadcasting Televisivo)</v>
      </c>
    </row>
    <row r="26" spans="1:4" ht="15" customHeight="1" x14ac:dyDescent="0.35">
      <c r="A26" s="11" t="s">
        <v>443</v>
      </c>
      <c r="B26" s="5"/>
      <c r="C26" s="6" t="s">
        <v>369</v>
      </c>
      <c r="D26" s="12" t="str">
        <f>ep3_denominazione</f>
        <v>Gemtek Systems BV</v>
      </c>
    </row>
    <row r="27" spans="1:4" ht="15" customHeight="1" x14ac:dyDescent="0.35">
      <c r="A27" s="11" t="s">
        <v>444</v>
      </c>
      <c r="B27" s="5"/>
      <c r="C27" s="6" t="s">
        <v>370</v>
      </c>
      <c r="D27" s="12" t="str">
        <f>ep4_denominazione</f>
        <v>Cisco Systems</v>
      </c>
    </row>
    <row r="28" spans="1:4" ht="15" customHeight="1" x14ac:dyDescent="0.35">
      <c r="A28" s="11" t="s">
        <v>445</v>
      </c>
      <c r="B28" s="5"/>
      <c r="C28" s="6" t="s">
        <v>371</v>
      </c>
      <c r="D28" s="12" t="str">
        <f>ep5_denominazione</f>
        <v>Simoco Europe Ltd</v>
      </c>
    </row>
    <row r="29" spans="1:4" ht="15" customHeight="1" x14ac:dyDescent="0.35">
      <c r="A29" s="11" t="s">
        <v>446</v>
      </c>
      <c r="B29" s="5"/>
      <c r="C29" s="6" t="s">
        <v>372</v>
      </c>
      <c r="D29" s="12" t="str">
        <f>ep6_denominazione</f>
        <v>Marconi Spa</v>
      </c>
    </row>
    <row r="30" spans="1:4" ht="15" customHeight="1" x14ac:dyDescent="0.35">
      <c r="A30" s="11" t="s">
        <v>447</v>
      </c>
      <c r="B30" s="5"/>
      <c r="C30" s="6" t="s">
        <v>373</v>
      </c>
      <c r="D30" s="12" t="str">
        <f>ep7_denominazione</f>
        <v>Officine Galileo Spa (Ora Galileo Avionica, Divisione di Finmeccanica - Leonardo Spa)</v>
      </c>
    </row>
    <row r="31" spans="1:4" ht="15" customHeight="1" x14ac:dyDescent="0.35">
      <c r="A31" s="11" t="s">
        <v>448</v>
      </c>
      <c r="B31" s="5"/>
      <c r="C31" s="6" t="s">
        <v>374</v>
      </c>
      <c r="D31" s="12" t="str">
        <f>ep8_denominazione</f>
        <v>Aermacchi Spa (ora Divisione di Leonardo - Finmeccanica)</v>
      </c>
    </row>
    <row r="32" spans="1:4" ht="15" customHeight="1" x14ac:dyDescent="0.35">
      <c r="A32" s="11" t="s">
        <v>449</v>
      </c>
      <c r="B32" s="5"/>
      <c r="C32" s="6" t="s">
        <v>375</v>
      </c>
      <c r="D32" s="12" t="str">
        <f>ep9_denominazione</f>
        <v>Ministero Difesa - Marina Militare, Direzione Generale per gli Armamenti Navali</v>
      </c>
    </row>
    <row r="33" spans="1:4" ht="15" customHeight="1" x14ac:dyDescent="0.35">
      <c r="A33" s="11" t="s">
        <v>450</v>
      </c>
      <c r="B33" s="5"/>
      <c r="C33" s="6" t="s">
        <v>211</v>
      </c>
      <c r="D33" s="12" t="str">
        <f>ep10_denominazione</f>
        <v>Ministero Difesa - Marina Militare, Incrociato "A. Doria", La Spezia</v>
      </c>
    </row>
    <row r="34" spans="1:4" ht="45" customHeight="1" x14ac:dyDescent="0.35">
      <c r="A34" s="11"/>
      <c r="B34" s="5"/>
      <c r="C34" s="37" t="s">
        <v>481</v>
      </c>
      <c r="D34" s="37"/>
    </row>
    <row r="35" spans="1:4" ht="262.5" customHeight="1" x14ac:dyDescent="0.35">
      <c r="A35" s="16" t="s">
        <v>451</v>
      </c>
      <c r="B35" s="5"/>
      <c r="C35" s="27" t="s">
        <v>430</v>
      </c>
      <c r="D35" s="14" t="s">
        <v>773</v>
      </c>
    </row>
    <row r="36" spans="1:4" ht="15" customHeight="1" x14ac:dyDescent="0.35">
      <c r="A36" s="11"/>
      <c r="B36" s="5"/>
      <c r="C36" s="5"/>
      <c r="D36" s="5"/>
    </row>
    <row r="37" spans="1:4" ht="20" x14ac:dyDescent="0.35">
      <c r="A37" s="11"/>
      <c r="B37" s="5"/>
      <c r="C37" s="33" t="s">
        <v>480</v>
      </c>
      <c r="D37" s="33"/>
    </row>
    <row r="38" spans="1:4" ht="15" customHeight="1" x14ac:dyDescent="0.35">
      <c r="A38" s="11"/>
      <c r="B38" s="5"/>
      <c r="C38" s="5"/>
      <c r="D38" s="5"/>
    </row>
    <row r="39" spans="1:4" ht="15" customHeight="1" x14ac:dyDescent="0.35">
      <c r="A39" s="11" t="s">
        <v>452</v>
      </c>
      <c r="B39" s="5"/>
      <c r="C39" s="6" t="s">
        <v>354</v>
      </c>
      <c r="D39" s="12" t="str">
        <f>spec_secondaria</f>
        <v>COMPETITIVITÀ_IMPRESE</v>
      </c>
    </row>
    <row r="40" spans="1:4" ht="15" customHeight="1" x14ac:dyDescent="0.35">
      <c r="A40" s="11" t="s">
        <v>453</v>
      </c>
      <c r="B40" s="5"/>
      <c r="C40" s="6" t="s">
        <v>357</v>
      </c>
      <c r="D40" s="12" t="str">
        <f>ads2_principale</f>
        <v>CI1 Creazione e avvio d'impresa</v>
      </c>
    </row>
    <row r="41" spans="1:4" ht="15" customHeight="1" x14ac:dyDescent="0.35">
      <c r="A41" s="11" t="s">
        <v>454</v>
      </c>
      <c r="B41" s="5"/>
      <c r="C41" s="6" t="s">
        <v>358</v>
      </c>
      <c r="D41" s="12" t="str">
        <f>ads2_secondaria</f>
        <v>CI2 Internazionalizzazione d’impresa</v>
      </c>
    </row>
    <row r="42" spans="1:4" ht="15" customHeight="1" x14ac:dyDescent="0.35">
      <c r="A42" s="11" t="s">
        <v>455</v>
      </c>
      <c r="B42" s="5"/>
      <c r="C42" s="6" t="s">
        <v>475</v>
      </c>
      <c r="D42" s="12" t="str">
        <f>ads2_terziaria</f>
        <v>CI3 Innovazione di prodotto/servizio, strategica ed organizzativa</v>
      </c>
    </row>
    <row r="43" spans="1:4" ht="15" customHeight="1" x14ac:dyDescent="0.35">
      <c r="A43" s="11"/>
      <c r="B43" s="5"/>
      <c r="C43" s="5"/>
      <c r="D43" s="5"/>
    </row>
    <row r="44" spans="1:4" ht="15" customHeight="1" x14ac:dyDescent="0.35">
      <c r="A44" s="11" t="s">
        <v>456</v>
      </c>
      <c r="B44" s="5"/>
      <c r="C44" s="6" t="s">
        <v>363</v>
      </c>
      <c r="D44" s="12" t="str">
        <f>l1_tema</f>
        <v>Ingegneria Elettronica</v>
      </c>
    </row>
    <row r="45" spans="1:4" ht="15" customHeight="1" x14ac:dyDescent="0.35">
      <c r="A45" s="11" t="s">
        <v>457</v>
      </c>
      <c r="B45" s="5"/>
      <c r="C45" s="6" t="s">
        <v>364</v>
      </c>
      <c r="D45" s="12">
        <f>l2_tema</f>
        <v>0</v>
      </c>
    </row>
    <row r="46" spans="1:4" ht="15" customHeight="1" x14ac:dyDescent="0.35">
      <c r="A46" s="11" t="s">
        <v>458</v>
      </c>
      <c r="B46" s="5"/>
      <c r="C46" s="6" t="s">
        <v>365</v>
      </c>
      <c r="D46" s="12" t="str">
        <f>dot_tema</f>
        <v>Corso di Specializzazione in Missilistica</v>
      </c>
    </row>
    <row r="47" spans="1:4" ht="15" customHeight="1" x14ac:dyDescent="0.35">
      <c r="A47" s="11" t="s">
        <v>459</v>
      </c>
      <c r="B47" s="5"/>
      <c r="C47" s="6" t="s">
        <v>366</v>
      </c>
      <c r="D47" s="12" t="str">
        <f>m2l_tema</f>
        <v>Master in Business Administration</v>
      </c>
    </row>
    <row r="48" spans="1:4" ht="15" customHeight="1" x14ac:dyDescent="0.35">
      <c r="A48" s="11"/>
      <c r="B48" s="5"/>
      <c r="C48" s="5"/>
      <c r="D48" s="5"/>
    </row>
    <row r="49" spans="1:4" ht="60" customHeight="1" x14ac:dyDescent="0.35">
      <c r="A49" s="11"/>
      <c r="B49" s="5"/>
      <c r="C49" s="37" t="s">
        <v>482</v>
      </c>
      <c r="D49" s="37"/>
    </row>
    <row r="50" spans="1:4" ht="262.5" customHeight="1" x14ac:dyDescent="0.35">
      <c r="A50" s="16" t="s">
        <v>460</v>
      </c>
      <c r="B50" s="5"/>
      <c r="C50" s="27" t="s">
        <v>429</v>
      </c>
      <c r="D50" s="15" t="s">
        <v>774</v>
      </c>
    </row>
    <row r="51" spans="1:4" ht="15" customHeight="1" x14ac:dyDescent="0.35">
      <c r="A51" s="11"/>
      <c r="B51" s="5"/>
      <c r="C51" s="5"/>
      <c r="D51" s="5"/>
    </row>
    <row r="52" spans="1:4" ht="15" customHeight="1" x14ac:dyDescent="0.35">
      <c r="A52" s="11" t="s">
        <v>461</v>
      </c>
      <c r="B52" s="5"/>
      <c r="C52" s="6" t="s">
        <v>367</v>
      </c>
      <c r="D52" s="12" t="str">
        <f>ep1_denominazione</f>
        <v>Libero Professionista Consuelenza Strategica e Gestionale</v>
      </c>
    </row>
    <row r="53" spans="1:4" ht="15" customHeight="1" x14ac:dyDescent="0.35">
      <c r="A53" s="11" t="s">
        <v>462</v>
      </c>
      <c r="B53" s="5"/>
      <c r="C53" s="6" t="s">
        <v>368</v>
      </c>
      <c r="D53" s="12" t="str">
        <f>ep2_denominazione</f>
        <v>Screen Service Spa (Broadcasting Televisivo)</v>
      </c>
    </row>
    <row r="54" spans="1:4" ht="15" customHeight="1" x14ac:dyDescent="0.35">
      <c r="A54" s="11" t="s">
        <v>463</v>
      </c>
      <c r="B54" s="5"/>
      <c r="C54" s="6" t="s">
        <v>369</v>
      </c>
      <c r="D54" s="12" t="str">
        <f>ep3_denominazione</f>
        <v>Gemtek Systems BV</v>
      </c>
    </row>
    <row r="55" spans="1:4" ht="15" customHeight="1" x14ac:dyDescent="0.35">
      <c r="A55" s="11" t="s">
        <v>464</v>
      </c>
      <c r="B55" s="5"/>
      <c r="C55" s="6" t="s">
        <v>370</v>
      </c>
      <c r="D55" s="12" t="str">
        <f>ep4_denominazione</f>
        <v>Cisco Systems</v>
      </c>
    </row>
    <row r="56" spans="1:4" ht="15" customHeight="1" x14ac:dyDescent="0.35">
      <c r="A56" s="11" t="s">
        <v>465</v>
      </c>
      <c r="B56" s="5"/>
      <c r="C56" s="6" t="s">
        <v>371</v>
      </c>
      <c r="D56" s="12" t="str">
        <f>ep5_denominazione</f>
        <v>Simoco Europe Ltd</v>
      </c>
    </row>
    <row r="57" spans="1:4" ht="15" customHeight="1" x14ac:dyDescent="0.35">
      <c r="A57" s="11" t="s">
        <v>466</v>
      </c>
      <c r="B57" s="5"/>
      <c r="C57" s="6" t="s">
        <v>372</v>
      </c>
      <c r="D57" s="12" t="str">
        <f>ep6_denominazione</f>
        <v>Marconi Spa</v>
      </c>
    </row>
    <row r="58" spans="1:4" ht="15" customHeight="1" x14ac:dyDescent="0.35">
      <c r="A58" s="11" t="s">
        <v>467</v>
      </c>
      <c r="B58" s="5"/>
      <c r="C58" s="6" t="s">
        <v>373</v>
      </c>
      <c r="D58" s="12" t="str">
        <f>ep7_denominazione</f>
        <v>Officine Galileo Spa (Ora Galileo Avionica, Divisione di Finmeccanica - Leonardo Spa)</v>
      </c>
    </row>
    <row r="59" spans="1:4" ht="15" customHeight="1" x14ac:dyDescent="0.35">
      <c r="A59" s="11" t="s">
        <v>468</v>
      </c>
      <c r="B59" s="5"/>
      <c r="C59" s="6" t="s">
        <v>374</v>
      </c>
      <c r="D59" s="12" t="str">
        <f>ep8_denominazione</f>
        <v>Aermacchi Spa (ora Divisione di Leonardo - Finmeccanica)</v>
      </c>
    </row>
    <row r="60" spans="1:4" ht="15" customHeight="1" x14ac:dyDescent="0.35">
      <c r="A60" s="11" t="s">
        <v>469</v>
      </c>
      <c r="B60" s="5"/>
      <c r="C60" s="6" t="s">
        <v>375</v>
      </c>
      <c r="D60" s="12" t="str">
        <f>ep9_denominazione</f>
        <v>Ministero Difesa - Marina Militare, Direzione Generale per gli Armamenti Navali</v>
      </c>
    </row>
    <row r="61" spans="1:4" ht="15" customHeight="1" x14ac:dyDescent="0.35">
      <c r="A61" s="11" t="s">
        <v>470</v>
      </c>
      <c r="B61" s="5"/>
      <c r="C61" s="6" t="s">
        <v>211</v>
      </c>
      <c r="D61" s="12" t="str">
        <f>ep10_denominazione</f>
        <v>Ministero Difesa - Marina Militare, Incrociato "A. Doria", La Spezia</v>
      </c>
    </row>
    <row r="62" spans="1:4" ht="15" customHeight="1" x14ac:dyDescent="0.35">
      <c r="A62" s="11"/>
      <c r="B62" s="5"/>
      <c r="C62" s="5"/>
      <c r="D62" s="5"/>
    </row>
    <row r="63" spans="1:4" ht="60" customHeight="1" x14ac:dyDescent="0.35">
      <c r="A63" s="11"/>
      <c r="B63" s="5"/>
      <c r="C63" s="37" t="s">
        <v>483</v>
      </c>
      <c r="D63" s="37"/>
    </row>
    <row r="64" spans="1:4" ht="262.5" customHeight="1" x14ac:dyDescent="0.35">
      <c r="A64" s="16" t="s">
        <v>471</v>
      </c>
      <c r="B64" s="5"/>
      <c r="C64" s="27" t="s">
        <v>430</v>
      </c>
      <c r="D64" s="15" t="s">
        <v>782</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668</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675</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665</v>
      </c>
    </row>
    <row r="59" spans="2:2" ht="15" customHeight="1" x14ac:dyDescent="0.35">
      <c r="B59" s="24" t="s">
        <v>666</v>
      </c>
    </row>
    <row r="60" spans="2:2" ht="15" customHeight="1" x14ac:dyDescent="0.35">
      <c r="B60" s="24" t="s">
        <v>667</v>
      </c>
    </row>
    <row r="61" spans="2:2" ht="15" customHeight="1" x14ac:dyDescent="0.35">
      <c r="B61" s="24" t="s">
        <v>661</v>
      </c>
    </row>
    <row r="62" spans="2:2" ht="15" customHeight="1" x14ac:dyDescent="0.35">
      <c r="B62" s="24" t="s">
        <v>658</v>
      </c>
    </row>
    <row r="63" spans="2:2" ht="15" customHeight="1" x14ac:dyDescent="0.35">
      <c r="B63" s="24" t="s">
        <v>663</v>
      </c>
    </row>
    <row r="64" spans="2:2" ht="15" customHeight="1" x14ac:dyDescent="0.35">
      <c r="B64" s="24" t="s">
        <v>662</v>
      </c>
    </row>
    <row r="65" spans="2:2" ht="15" customHeight="1" x14ac:dyDescent="0.35">
      <c r="B65" s="24" t="s">
        <v>664</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54296875" style="24" bestFit="1" customWidth="1"/>
    <col min="8" max="8" width="20.81640625" style="24" bestFit="1" customWidth="1"/>
    <col min="9" max="9" width="16.7265625" style="24" bestFit="1" customWidth="1"/>
    <col min="10" max="10" width="20.5429687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54296875" style="24" bestFit="1" customWidth="1"/>
    <col min="35" max="35" width="28" style="24" bestFit="1" customWidth="1"/>
    <col min="36" max="36" width="26.26953125" style="24" bestFit="1" customWidth="1"/>
    <col min="37" max="37" width="27.1796875" style="24" bestFit="1" customWidth="1"/>
    <col min="38" max="38" width="24.54296875" style="24" bestFit="1" customWidth="1"/>
    <col min="39" max="39" width="18.1796875" style="24" bestFit="1" customWidth="1"/>
    <col min="40" max="40" width="16.26953125" style="24" bestFit="1" customWidth="1"/>
    <col min="41" max="41" width="21.453125" style="24" bestFit="1" customWidth="1"/>
    <col min="42" max="42" width="13.5429687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5429687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81640625" style="24" bestFit="1" customWidth="1"/>
    <col min="63" max="63" width="21.5429687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5429687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5429687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5429687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54296875" style="24" bestFit="1" customWidth="1"/>
    <col min="204" max="204" width="40.7265625" style="24" bestFit="1" customWidth="1"/>
    <col min="205" max="205" width="33.54296875" style="24" bestFit="1" customWidth="1"/>
    <col min="206" max="206" width="40.72656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Andrea</v>
      </c>
      <c r="B2" s="24" t="str">
        <f>cognome</f>
        <v>Sardi</v>
      </c>
      <c r="C2" s="24" t="str">
        <f>sesso</f>
        <v>M</v>
      </c>
      <c r="D2" s="24" t="str">
        <f>stato_nascita</f>
        <v>Italia</v>
      </c>
      <c r="E2" s="24" t="str">
        <f>comune_nascita</f>
        <v>Genova</v>
      </c>
      <c r="F2" s="24" t="str">
        <f>provincia_nascita</f>
        <v>Genova</v>
      </c>
      <c r="G2" s="24" t="str">
        <f>data_nascita</f>
        <v>1958</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7 Professionale</v>
      </c>
      <c r="AA2" s="24" t="str">
        <f>lingua2</f>
        <v>Spagnolo</v>
      </c>
      <c r="AB2" s="24" t="str">
        <f>lingua2_livello</f>
        <v>5 Sufficiente</v>
      </c>
      <c r="AC2" s="24" t="str">
        <f>lingua3</f>
        <v>Tedesco</v>
      </c>
      <c r="AD2" s="24" t="str">
        <f>lingua3_livello</f>
        <v>2 Elementare</v>
      </c>
      <c r="AE2" s="24" t="str">
        <f>spec_principale</f>
        <v>AEROSPAZIO</v>
      </c>
      <c r="AF2" s="24" t="str">
        <f>ads1_principale</f>
        <v xml:space="preserve">AS2 Sistemi ed equipaggiamenti innovativi </v>
      </c>
      <c r="AG2" s="24" t="str">
        <f>ads1_secondaria</f>
        <v xml:space="preserve">AS5 Protezione nello spazio e dallo spazio </v>
      </c>
      <c r="AH2" s="24" t="str">
        <f>ads1_terziaria</f>
        <v>AS6 Nuove piattaforme tra la terra e lo spazio</v>
      </c>
      <c r="AI2" s="24" t="str">
        <f>spec_secondaria</f>
        <v>COMPETITIVITÀ_IMPRESE</v>
      </c>
      <c r="AJ2" s="24" t="str">
        <f>ads2_principale</f>
        <v>CI1 Creazione e avvio d'impresa</v>
      </c>
      <c r="AK2" s="24" t="str">
        <f>ads2_secondaria</f>
        <v>CI2 Internazionalizzazione d’impresa</v>
      </c>
      <c r="AL2" s="24" t="str">
        <f>ads2_terziaria</f>
        <v>CI3 Innovazione di prodotto/servizio, strategica ed organizzativa</v>
      </c>
      <c r="AM2" s="24" t="str">
        <f>l1_tipo</f>
        <v>Vecchio ordinamento</v>
      </c>
      <c r="AN2" s="24" t="str">
        <f>l1_tema</f>
        <v>Ingegneria Elettronica</v>
      </c>
      <c r="AO2" s="24" t="str">
        <f>l1_anno</f>
        <v>1983</v>
      </c>
      <c r="AP2" s="24" t="str">
        <f>l1_presso</f>
        <v>Università di Pisa</v>
      </c>
      <c r="AQ2" s="24" t="str">
        <f>l1_titolo</f>
        <v>Sistema Direct Numeric Control per la gestione di una linea flessibile di lavorazione per carter a due tempi di motociclo. Tesi sperimentale svolta in collaborazione con l'Istituto Sperimentale di Macchine dell'Università di Pisa</v>
      </c>
      <c r="AR2" s="24" t="str">
        <f>l1_voto</f>
        <v>110/110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t="str">
        <f>dot_tema</f>
        <v>Corso di Specializzazione in Missilistica</v>
      </c>
      <c r="BH2" s="24" t="str">
        <f>dot_anno</f>
        <v>1986</v>
      </c>
      <c r="BI2" s="24" t="str">
        <f>dot_presso</f>
        <v>Accademia Navale di Livorno - Università di Pisa</v>
      </c>
      <c r="BJ2" s="24" t="str">
        <f>dot_titolo</f>
        <v>Effetti delle scintillazione della Radar Cross Section sulla probabilità di scoperta di un missile nella fase di lancio e di volo.</v>
      </c>
      <c r="BK2" s="24" t="str">
        <f>dot_voto</f>
        <v>30/30</v>
      </c>
      <c r="BL2" s="24" t="str">
        <f>m2l_tema</f>
        <v>Master in Business Administration</v>
      </c>
      <c r="BM2" s="24" t="str">
        <f>m2l_anno</f>
        <v>1992</v>
      </c>
      <c r="BN2" s="24" t="str">
        <f>m2l_presso</f>
        <v>Università "Luigi Bocconi", Scuola di Direzione Aziendale</v>
      </c>
      <c r="BO2" s="24" t="str">
        <f>m2l_titolo</f>
        <v>Progetto sul campo: "Business plan per il lancio di un nuovo prodotto. Sistema di atterraggio strumentale, basato su sensore elettro-ottico, per l'aviazione civile" in collaborazione con Galileo Avionica.</v>
      </c>
      <c r="BP2" s="24" t="str">
        <f>m2l_voto</f>
        <v>6,5/7</v>
      </c>
      <c r="BQ2" s="24">
        <f>ep1_inizio</f>
        <v>37135</v>
      </c>
      <c r="BR2" s="24" t="str">
        <f>ep1_fine</f>
        <v>In corso</v>
      </c>
      <c r="BS2" s="24" t="str">
        <f>ep1_denominazione</f>
        <v>Libero Professionista Consuelenza Strategica e Gestionale</v>
      </c>
      <c r="BT2" s="24" t="str">
        <f>ep1_comune</f>
        <v>Livorno</v>
      </c>
      <c r="BU2" s="24" t="str">
        <f>ep1_provincia</f>
        <v>LI</v>
      </c>
      <c r="BV2" s="24" t="str">
        <f>ep1_dimensione</f>
        <v>1 Micro impresa (&lt; 10 dipendenti)</v>
      </c>
      <c r="BW2" s="24" t="str">
        <f>ep1_settore</f>
        <v>Consulenza alle Imprese</v>
      </c>
      <c r="BX2" s="24" t="str">
        <f>ep1_ambito</f>
        <v>Privato</v>
      </c>
      <c r="BY2" s="24" t="str">
        <f>ep1_rife</f>
        <v>Entrambe</v>
      </c>
      <c r="BZ2" s="24" t="str">
        <f>ep1_attivita</f>
        <v>Esperienza e Clienti nei settori Difesa, Aerospazio, ICT, Energia, Automotive.
Tra i Clienti: 3TP srl – ZTE, gestione gruppi di progetto per l’upgrade della rete W3; Polo Tecnologico Navacchio, analisi settori mobilità, energia, automotive e business plan per Azienda associata; Projest Spa, business plan per il riposizionamento strategico; EASME, Coach a supporto dello sviluppo di due start-up nei settori energia e ICT; Kobo Capital Ltd (Financial Adivisory) selezione aziende innovative e Venture Manager; Finlombarda, Valutazione progetti.</v>
      </c>
      <c r="CA2" s="24" t="str">
        <f>ep1_resp</f>
        <v xml:space="preserve">Esperto nella gestione di programmi complessi, nell’acquisizione di nuovi mercati e Clienti, nello sviluppo di sistemi di offerta ad alto valore aggiunto, in operazioni di ristrutturazione e innovazione di prodotto, processo, organizzativa e gestionale. Aumento della produttività e della redditività. </v>
      </c>
      <c r="CB2" s="24">
        <f>ep2_inizio</f>
        <v>39128</v>
      </c>
      <c r="CC2" s="24">
        <f>ep2_fine</f>
        <v>39355</v>
      </c>
      <c r="CD2" s="24" t="str">
        <f>ep2_denominazione</f>
        <v>Screen Service Spa (Broadcasting Televisivo)</v>
      </c>
      <c r="CE2" s="24" t="str">
        <f>ep2_comune</f>
        <v>Privato</v>
      </c>
      <c r="CF2" s="24" t="str">
        <f>ep2_provincia</f>
        <v>Entrambe</v>
      </c>
      <c r="CG2" s="24" t="str">
        <f>ep2_dimensione</f>
        <v>3 Media impresa (&lt; 250 dipendenti)</v>
      </c>
      <c r="CH2" s="24" t="e">
        <f>ep2_settore</f>
        <v>#REF!</v>
      </c>
      <c r="CI2" s="24" t="e">
        <f>ep2_ambito</f>
        <v>#REF!</v>
      </c>
      <c r="CJ2" s="24" t="e">
        <f>ep2_rife</f>
        <v>#REF!</v>
      </c>
      <c r="CK2" s="24" t="str">
        <f>ep2_attivita</f>
        <v>Sviluppo di Azienda. Rifocalizzata la strategia competitiva di Gruppo: da “prodotto su commessa, per mercato locale” a “leader tecnologico, sistemi end-to-end, dedicati ad un mercato globale”.Trasferimento di know-how tecnologico consentendo lo sviluppo di soluzioni innovative rivolte ai maggiori Operatori TV, rispondenti ai 3 standard emergenti per la TV digitale per Nord e Sud America, EMEA, Far East con deposito di tre brevetti. Completa ristrutturazione di MBITL, centro R&amp;D e produzione del Gruppo. Aumento fatturato, produttività e redditività.</v>
      </c>
      <c r="CL2" s="24" t="str">
        <f>ep2_resp</f>
        <v xml:space="preserve">Vice Direttore Unità R&amp;D e Produzione di Baranzate (MBITL). Riporto a Socio fondatore. Assicurare lo sviluppo economico-finanziario, dimensionale, organizzativo. </v>
      </c>
      <c r="CM2" s="24" t="str">
        <f>ep3_inizio</f>
        <v>01/10/2003</v>
      </c>
      <c r="CN2" s="24" t="str">
        <f>ep3_fine</f>
        <v>31/10/2005</v>
      </c>
      <c r="CO2" s="24" t="str">
        <f>ep3_denominazione</f>
        <v>Gemtek Systems BV</v>
      </c>
      <c r="CP2" s="24" t="str">
        <f>ep3_comune</f>
        <v>Amsterdam</v>
      </c>
      <c r="CQ2" s="24" t="str">
        <f>ep3_provincia</f>
        <v>The Netherlands</v>
      </c>
      <c r="CR2" s="24" t="str">
        <f>ep3_dimensione</f>
        <v>4 Grande impresa o multinazionale</v>
      </c>
      <c r="CS2" s="24" t="str">
        <f>ep3_settore</f>
        <v>ICT</v>
      </c>
      <c r="CT2" s="24" t="str">
        <f>ep3_ambito</f>
        <v>Privato</v>
      </c>
      <c r="CU2" s="24" t="str">
        <f>ep3_rife</f>
        <v>Entrambe</v>
      </c>
      <c r="CV2" s="24" t="str">
        <f>ep3_attivita</f>
        <v>Rilancio di Azienda in crisi. Rifocalizzata la strategia da “prodotto leader di prezzo” per Operatori Locali, a “leader tecnologico di soluzioni ad alto valore aggiunto”, sistemi WLAN per i maggiori Operatori telefonici. Anticipati l’evoluzione del mercato ed i requisiti dei maggiori Operatori, guidando lo Sviluppo Prodotti verso soluzioni altamente competitive. Affiancata la forza vendite nelle trattative con gli operatori telefonici (Telecom Italia, Telefonica, Swisscom Eurospot) e  System Integrators a livello internazionale.</v>
      </c>
      <c r="CW2" s="24" t="str">
        <f>ep3_resp</f>
        <v>Responsabile riposizionamento strategico e Vice President Sales &amp; Marketing, con riporto all'Amministratore Delegato. Gestione forza vendite e Technical Sales. Supervisione del Product Planning.</v>
      </c>
      <c r="CX2" s="24" t="str">
        <f>ep4_inizio</f>
        <v>01/08/2000</v>
      </c>
      <c r="CY2" s="24" t="str">
        <f>ep4_fine</f>
        <v>30/06/2001</v>
      </c>
      <c r="CZ2" s="24" t="str">
        <f>ep4_denominazione</f>
        <v>Cisco Systems</v>
      </c>
      <c r="DA2" s="24" t="str">
        <f>ep4_comune</f>
        <v>Vimercate</v>
      </c>
      <c r="DB2" s="24" t="str">
        <f>ep4_provincia</f>
        <v>MB</v>
      </c>
      <c r="DC2" s="24" t="str">
        <f>ep4_dimensione</f>
        <v>4 Grande impresa o multinazionale</v>
      </c>
      <c r="DD2" s="24" t="str">
        <f>ep4_settore</f>
        <v>ICT</v>
      </c>
      <c r="DE2" s="24" t="str">
        <f>ep4_ambito</f>
        <v>Privato</v>
      </c>
      <c r="DF2" s="24" t="str">
        <f>ep4_rife</f>
        <v>Entrambe</v>
      </c>
      <c r="DG2" s="24" t="str">
        <f>ep4_attivita</f>
        <v>Internazionalizzazione nuova linea di prodotti. Supporto tecnico e commerciale alla introduzione della linea SDH sui mercati internazionali, caratterizzati dalla consolidata presenza di altre Aziende concorrenti affermate in questo segmento di mercato, sia dal punto di vista tecnico che commerciale (es: Alcatel, Siemens). Affiancamento dei Local Account Manager nel corso delle trattative commerciali, dall'attività di marketing alla presentazione della offerta tecnica e commerciale al Cliente con negoziazione delle possibili alternative proposte</v>
      </c>
      <c r="DH2" s="24" t="str">
        <f>ep4_resp</f>
        <v>Major Opportunities Manager, con riporto al VP Europe, Optical Networks. Responsabile Marketing e Vendite per il Nord Europa, nell'ambito della neo-costituita Linea di Business. Formazione e affiancamento dei Local Account Manager in merito al nuovo portafoglio prodotti.</v>
      </c>
      <c r="DI2" s="24" t="str">
        <f>ep5_inizio</f>
        <v>22/03/1999</v>
      </c>
      <c r="DJ2" s="24" t="str">
        <f>ep5_fine</f>
        <v>30/04/2000</v>
      </c>
      <c r="DK2" s="24" t="str">
        <f>ep5_denominazione</f>
        <v>Simoco Europe Ltd</v>
      </c>
      <c r="DL2" s="24" t="str">
        <f>ep5_comune</f>
        <v>Derby</v>
      </c>
      <c r="DM2" s="24" t="str">
        <f>ep5_provincia</f>
        <v>UK</v>
      </c>
      <c r="DN2" s="24" t="str">
        <f>ep5_dimensione</f>
        <v>4 Grande impresa o multinazionale</v>
      </c>
      <c r="DO2" s="24" t="str">
        <f>ep5_settore</f>
        <v>ICT</v>
      </c>
      <c r="DP2" s="24" t="str">
        <f>ep5_ambito</f>
        <v>Privato</v>
      </c>
      <c r="DQ2" s="24" t="str">
        <f>ep5_rife</f>
        <v>Entrambe</v>
      </c>
      <c r="DR2" s="24" t="str">
        <f>ep5_attivita</f>
        <v>Internazionalizzazione. Definita la struttura commerciale Indiretta tramite System Integrators. Introdotti verso i Systems Integrators (S.I.): contratto quadro, obiettivi commerciali, budget annuale. Supporto e formazione dei S.I., in particolare nella formulazione di offerte verso il cliente finale e della relativa negoziazione. Condivisione con i S.I. di un metodo per la valutazione delle opportunità commerciali e la raccolta sistematica di informazioni per sviluppo del portafoglio prodotti e analisi della concorrenza.</v>
      </c>
      <c r="DS2" s="24" t="str">
        <f>ep5_resp</f>
        <v>Business Development Manager - Sud Europa. Anticipare tendenze di mercato e tecnologiche di lungo termine. Definire nuovo posizionamento competitivo. Introdurre la vendita dei sistemi attraverso System Integrators assicurando la partecipazione a progetti di grandi dimensioni.</v>
      </c>
      <c r="DT2" s="24" t="str">
        <f>ep6_inizio</f>
        <v>01/12/1994</v>
      </c>
      <c r="DU2" s="24" t="str">
        <f>ep6_fine</f>
        <v>19/03/1999</v>
      </c>
      <c r="DV2" s="24" t="str">
        <f>ep6_denominazione</f>
        <v>Marconi Spa</v>
      </c>
      <c r="DW2" s="24" t="str">
        <f>ep6_comune</f>
        <v>Genova</v>
      </c>
      <c r="DX2" s="24" t="str">
        <f>ep6_provincia</f>
        <v>GE</v>
      </c>
      <c r="DY2" s="24" t="str">
        <f>ep6_dimensione</f>
        <v>4 Grande impresa o multinazionale</v>
      </c>
      <c r="DZ2" s="24" t="str">
        <f>ep6_settore</f>
        <v>TLC</v>
      </c>
      <c r="EA2" s="24" t="str">
        <f>ep6_ambito</f>
        <v>Privato</v>
      </c>
      <c r="EB2" s="24" t="str">
        <f>ep6_rife</f>
        <v>Entrambe</v>
      </c>
      <c r="EC2" s="24" t="str">
        <f>ep6_attivita</f>
        <v>Internazionalizzazione e riorganizzazione. Gestione Progetti e Contratti. Introdotte innovazioni di processo/gestione logistica. Introdotto un sistema formale di gestione delle relazioni tecnico commerciali con i Clienti. Successivamente alla fusione tra Marconi (4.000 dipendenti) - GPT (10.000 dipendenti), delegato dalla Marconi, nell'ambito del Team di progetto di riorganizzazione aziendale. Supportata l'espansione commerciale in Brasile e Cina. Gestiti accordi di delocalizzazione produttiva (Brasile e Indonesia).</v>
      </c>
      <c r="ED2" s="24" t="str">
        <f>ep6_resp</f>
        <v>Project &amp; Contract Manager. Responsabile progetti, contratti e sviluppo business per la realizzazione di reti SDH in EMEA, Far East. Coordinamento con Partner Industriali Internazionali, per progetti multilaterali. Gestione accordo commerciale Marconi-Ericsson.</v>
      </c>
      <c r="EE2" s="24" t="str">
        <f>ep7_inizio</f>
        <v>14/04/1990</v>
      </c>
      <c r="EF2" s="24" t="str">
        <f>ep7_fine</f>
        <v>08/11/1994</v>
      </c>
      <c r="EG2" s="24" t="str">
        <f>ep7_denominazione</f>
        <v>Officine Galileo Spa (Ora Galileo Avionica, Divisione di Finmeccanica - Leonardo Spa)</v>
      </c>
      <c r="EH2" s="24" t="str">
        <f>ep7_comune</f>
        <v>Campi Bisenzio</v>
      </c>
      <c r="EI2" s="24" t="str">
        <f>ep7_provincia</f>
        <v>FI</v>
      </c>
      <c r="EJ2" s="24" t="str">
        <f>ep7_dimensione</f>
        <v>4 Grande impresa o multinazionale</v>
      </c>
      <c r="EK2" s="24" t="str">
        <f>ep7_settore</f>
        <v>Difesa, Avionica ed Aerospazio</v>
      </c>
      <c r="EL2" s="24" t="str">
        <f>ep7_ambito</f>
        <v>Pubblico</v>
      </c>
      <c r="EM2" s="24" t="str">
        <f>ep7_rife</f>
        <v>Entrambe</v>
      </c>
      <c r="EN2" s="24" t="str">
        <f>ep7_attivita</f>
        <v xml:space="preserve">Riposizionamento strategico e sviluppo nuovo portafoglio prodotti. Definito il progetto di due nuovi sistema avionici ed il relativo business plan:  “Sistema di navigazione aerea per aviazione civile” (brevetto (N°0001252778 Autore Andrea Sardi, Titolare: Galileo Avionica) e "Sistema integrato RADAR – Infrarosso – Sistema d’Arma". Sviluppo business sistemi avionici e satellitari per il remote sensing. Selezionati agenti in Europa, Malesia, Pakistan. Individuato Partner Industriali per lo sviluppo di programmi multilaterali (Pakistan). </v>
      </c>
      <c r="EO2" s="24" t="str">
        <f>ep7_resp</f>
        <v xml:space="preserve">Ridefinire il sistema d'offerta “visori IR stand alone” a basso valore aggiunto, a “Sistemi Avionici integrati per le operazioni di pattugliamento con elicottero ed altre applicazioni per l'Areonautica Civile e Militare”, ad alto valore aggiunto. Senior System Engineer - Marketing Manager. </v>
      </c>
      <c r="EP2" s="24" t="str">
        <f>ep8_inizio</f>
        <v>01/05/1989</v>
      </c>
      <c r="EQ2" s="24" t="str">
        <f>ep8_fine</f>
        <v>14/04/1990</v>
      </c>
      <c r="ER2" s="24" t="str">
        <f>ep8_denominazione</f>
        <v>Aermacchi Spa (ora Divisione di Leonardo - Finmeccanica)</v>
      </c>
      <c r="ES2" s="24" t="str">
        <f>ep8_comune</f>
        <v>Varese</v>
      </c>
      <c r="ET2" s="24" t="str">
        <f>ep8_provincia</f>
        <v>VA</v>
      </c>
      <c r="EU2" s="24" t="str">
        <f>ep8_dimensione</f>
        <v>4 Grande impresa o multinazionale</v>
      </c>
      <c r="EV2" s="24" t="str">
        <f>ep8_settore</f>
        <v>Aerospaziale e Difesa</v>
      </c>
      <c r="EW2" s="24" t="str">
        <f>ep8_ambito</f>
        <v>Privato</v>
      </c>
      <c r="EX2" s="24" t="str">
        <f>ep8_rife</f>
        <v>Macro-area principale (MA1)</v>
      </c>
      <c r="EY2" s="24" t="str">
        <f>ep8_attivita</f>
        <v>Preparazione della “Risk and Safety Analysis”; preparazione dell’analisi di MTBF, FMECA e definizione del FRACAS, con riferimento alle specifiche MIL-STD e ai requisiti di Progetto. Identificazione delle principali aree di criticità, analisi dei rischi, categorizzazione, valutazione e pianificazione delle varianti di progetto conformi ai requisiti.  Qualifica e monitoraggio dei sub-fornitori. Rivisto il Piano di Affidabilità e Sicurezza del Volo dell’AM-X. Qualificati circa 25 fornitori per il programma EFA.</v>
      </c>
      <c r="EZ2" s="24" t="str">
        <f>ep8_resp</f>
        <v xml:space="preserve">Reliability &amp; Flight Safety Engineer. Ufficio Affidabilità e Sicurezza del Volo. Revisione dei Piani di Affidabilità e Sicurezza del Volo (R&amp;FS Plans) per i principali programmi, guidando i team di progetto funzionali verso il raggiungimento di requisiti di “R&amp;FS del velivolo. </v>
      </c>
      <c r="FA2" s="24" t="str">
        <f>ep9_inizio</f>
        <v>09/03/1986</v>
      </c>
      <c r="FB2" s="24" t="str">
        <f>ep9_fine</f>
        <v>15/04/1989</v>
      </c>
      <c r="FC2" s="24" t="str">
        <f>ep9_denominazione</f>
        <v>Ministero Difesa - Marina Militare, Direzione Generale per gli Armamenti Navali</v>
      </c>
      <c r="FD2" s="24" t="str">
        <f>ep9_comune</f>
        <v>Roma</v>
      </c>
      <c r="FE2" s="24" t="str">
        <f>ep9_provincia</f>
        <v>RM</v>
      </c>
      <c r="FF2" s="24" t="str">
        <f>ep9_dimensione</f>
        <v>5 Ente pubblico</v>
      </c>
      <c r="FG2" s="24" t="str">
        <f>ep9_settore</f>
        <v>Difesa</v>
      </c>
      <c r="FH2" s="24" t="str">
        <f>ep9_ambito</f>
        <v>Pubblico</v>
      </c>
      <c r="FI2" s="24" t="str">
        <f>ep9_rife</f>
        <v>Macro-area principale (MA1)</v>
      </c>
      <c r="FJ2" s="24" t="str">
        <f>ep9_attivita</f>
        <v>Definizione dei Capitolati Tecnici di prodotti e servizi e gestione dell'intera procedura di acquisto secondo le norme vigenti in ambito Pubblica Amministrazione. Membro delle Commissioni di Valutazione di Offerta. Direzione dei programmi nella fase di implementazione, nell’ambito di vincoli operativi, tecnici e finanziari. Coordinamento degli Uffici ed Enti Tecnici Periferici, per il raggiungimento degli obiettivi di progetto, risolvendo potenziali conflitti su progetti concorrenti, individuando opportune soluzioni per allocazione di risorse scarse.</v>
      </c>
      <c r="FK2" s="24" t="str">
        <f>ep9_resp</f>
        <v xml:space="preserve">Capo Sezione. Riporto al Capo XII Divisione, IV Reparto - Sistemi “Operazioni, Missili e Radar”. Responsabile tecnico-amministrativo programmi, contratti di acquisto, per Sistemi Missilistici Medio-Lungo Raggio, apparecchiature e servizi di supporto, da industrie USA ed italiane. </v>
      </c>
      <c r="FL2" s="24" t="str">
        <f>ep10_inizio</f>
        <v>18/04/1983</v>
      </c>
      <c r="FM2" s="24" t="str">
        <f>ep10_fine</f>
        <v>08/03/1986</v>
      </c>
      <c r="FN2" s="24" t="str">
        <f>ep10_denominazione</f>
        <v>Ministero Difesa - Marina Militare, Incrociato "A. Doria", La Spezia</v>
      </c>
      <c r="FO2" s="24" t="str">
        <f>ep10_comune</f>
        <v>Roma</v>
      </c>
      <c r="FP2" s="24" t="str">
        <f>ep10_provincia</f>
        <v>RM</v>
      </c>
      <c r="FQ2" s="24" t="str">
        <f>ep10_dimensione</f>
        <v>4 Grande impresa o multinazionale</v>
      </c>
      <c r="FR2" s="24" t="str">
        <f>ep10_settore</f>
        <v>Difesa</v>
      </c>
      <c r="FS2" s="24" t="str">
        <f>ep10_ambito</f>
        <v>Privato</v>
      </c>
      <c r="FT2" s="24" t="str">
        <f>ep10_rife</f>
        <v>Macro-area principale (MA1)</v>
      </c>
      <c r="FU2" s="24" t="str">
        <f>ep10_attivita</f>
        <v>Assicurata la piena operatività del sistema d'arma. Organizzato ed implementato un innovativo programma per la revisione completa del Sistema Missilistico (lavori manutenzione straordinaria) con nave pienamente operativa.</v>
      </c>
      <c r="FV2" s="24" t="str">
        <f>ep10_resp</f>
        <v>Capo Servizio Tecnico Armi. Riporto al Capo Servizio Armi. Responsabilità delle operazioni tecniche, del Sistema di supporto logistico, della gestione ed addestramento del personale addetto</v>
      </c>
      <c r="FW2" s="24" t="str">
        <f>bando1_ente</f>
        <v>Regione Lombardia, Finlombarda Spa.</v>
      </c>
      <c r="FX2" s="24" t="str">
        <f>bando1_ambito</f>
        <v>1 Regionale</v>
      </c>
      <c r="FY2" s="24" t="str">
        <f>bando1_tema</f>
        <v>1 Innovazione e competitività</v>
      </c>
      <c r="FZ2" s="24" t="str">
        <f>bando1_misura</f>
        <v xml:space="preserve">PROGRAMMA OPERATIVO REGIONALE 2014-2020 OBIETTIVO “INVESTIMENTI IN FAVORE DELLA CRESCITA E DELL’OCCUPAZIONE” (cofinanziato con il FESR). ASSE PRIORITARIO I </v>
      </c>
      <c r="GA2" s="24" t="str">
        <f>bando1_descr</f>
        <v>Azione: "Sostegno alla valorizzazione economica dell’innovazione attraverso la sperimentazione e l’adozione di soluzioni innovative nei processi, nei prodotti e nelle formule organizzative, nonché attraverso il finanziamento dell’industrializzazione dei risultati della ricerca LINEA R&amp;S PER MPMI (FRIM FESR 2020)"</v>
      </c>
      <c r="GB2" s="24" t="str">
        <f>bando1_anno</f>
        <v>2018</v>
      </c>
      <c r="GC2" s="24" t="str">
        <f>bando1_proj_val</f>
        <v>1 Fino a 10</v>
      </c>
      <c r="GD2" s="24" t="str">
        <f>bando1_inv_medio</f>
        <v>4 Da 500.000 a 1.000.000 Euro</v>
      </c>
      <c r="GE2" s="24" t="str">
        <f>bando2_ente</f>
        <v>Regione Lombardia, Finlombarda Spa</v>
      </c>
      <c r="GF2" s="24" t="str">
        <f>bando2_ambito</f>
        <v>1 Regionale</v>
      </c>
      <c r="GG2" s="24" t="str">
        <f>bando2_tema</f>
        <v>1 Innovazione e competitività</v>
      </c>
      <c r="GH2" s="24" t="str">
        <f>bando2_misura</f>
        <v xml:space="preserve">PROGRAMMA OPERATIVO REGIONALE 2014-2020 OBIETTIVO “INVESTIMENTI IN FAVORE DELLA CRESCITA E DELL’OCCUPAZIONE” (cofinanziato con il FESR). ASSE PRIORITARIO I </v>
      </c>
      <c r="GI2" s="24" t="str">
        <f>bando2_descr</f>
        <v>Azione: "Sostegno alla valorizzazione economica dell’innovazione attraverso la sperimentazione e l’adozione di soluzioni innovative nei processi, nei prodotti e nelle formule organizzative, nonché attraverso il finanziamento dell’industrializzazione dei risultati della ricerca LINEA R&amp;S PER MPMI (FRIM FESR 2020)</v>
      </c>
      <c r="GJ2" s="24" t="str">
        <f>bando2_anno</f>
        <v>2017</v>
      </c>
      <c r="GK2" s="24" t="str">
        <f>bando2_proj_val</f>
        <v>1 Fino a 10</v>
      </c>
      <c r="GL2" s="24" t="str">
        <f>bando2_inv_medio</f>
        <v>3 Da 200.000 a 500.000 Euro</v>
      </c>
      <c r="GM2" s="24" t="str">
        <f>bando3_ente</f>
        <v>Regione Lombardia, Finlombarda Spa</v>
      </c>
      <c r="GN2" s="24" t="str">
        <f>bando3_ambito</f>
        <v>1 Regionale</v>
      </c>
      <c r="GO2" s="24" t="str">
        <f>bando3_tema</f>
        <v>1 Innovazione e competitività</v>
      </c>
      <c r="GP2" s="24" t="str">
        <f>bando3_misura</f>
        <v>PROGRAMMA OPERATIVO REGIONALE 2014-2020 OBIETTIVO “INVESTIMENTI IN FAVORE DELLA CRESCITA E DELL’OCCUPAZIONE” (cofinanziato con il FESR). ASSE PRIORITARIO I Azione - Sostegno alle attività collaborative di R&amp;S per lo sviluppo di nuove tecnologie sostenibili, di nuovi prodotti e servizi. LINEA R&amp;S PER AGGREGAZIONI.</v>
      </c>
      <c r="GQ2" s="24" t="str">
        <f>bando3_descr</f>
        <v>BANDO per la presentazione delle domande di progetti di ricerca industriale e sviluppo sperimentale nelle aree di specializzazione S3</v>
      </c>
      <c r="GR2" s="24" t="str">
        <f>bando3_anno</f>
        <v>2016</v>
      </c>
      <c r="GS2" s="24" t="str">
        <f>bando3_proj_val</f>
        <v>1 Fino a 10</v>
      </c>
      <c r="GT2" s="24" t="str">
        <f>bando3_inv_medio</f>
        <v>5 Da 1.000.000 a 5.000.000 Euro</v>
      </c>
      <c r="GU2" s="24" t="str">
        <f>ads1_motivazioni_cs</f>
        <v>Successivamente al Corso di Laurea in Ingegneria Elettronica con Indirizzo Calcolatori, ho conseguito una Specializzazione in Sistemi Missilistici e Radar (Corso realizzato dal Ministero Difesa, Accademia Navale di Livorno, in collaborazione con l'Università di Pisa). Focus del corso di Specializzazione è stata lo studio del missile (aerodinamica, sistemi di controllo del volo, sistemi di propulsione, di lancio) la difesa contro la minaccia aerea, missilistica e in particolare relativa ai missili balistici, e l'integrazione del sistema missilistico nel C4ISTAR, comando e controllo integrato, cui afferiscono le informazioni provenienti dalle varie piattaforme, navali, aeronautiche e satellitari. Il corso ha compreso, oltre allo studio dei missili per applicazioni aeronavali anche lo studio dei missili balistici, dei vettori per il lancio dei satelliti. Queste conoscenze sono afferenti sia alla MA1 Aerospazio e relative sottoaree, in particoolare AS2, AS5, AS6</v>
      </c>
      <c r="GV2" s="24" t="str">
        <f>ads1_motivazioni_ep</f>
        <v>Come Ufficiale della Marina Militare ho ricoperto l'Incarico di Capo Servizio Tecnico Armi a bordo dell'incrociatore "Andrea Doria" e di Responsabile dei Programmi Missilistici a medio lungo raggio presso la Direzione Generale per gli Armamenti Navali. Focus degli studi e dei programmi è stata la difesa contro la minaccia aerea e missilistica (in particolare dei missili balistici), e l'integrazione del sistema missilistico nel C4ISTAR. Questa esperienza è afferente alla MA1 Aerospazio e relative sottoaree, in particoolare AS2, AS5, AS6. I sistemi di guida, controllo del volo, comunicazione bordo-terra dei missili hanno forti affinità con quelli dei veicoli destinati all'aero-spazio, mentre le comunicazioni via satellite e verso gli aeromobili hanno sempre avuto un ruolo rilevante nel sistema di combattimento aeronavale integrato. In Aermacchi ho approfondito queste tematiche con specifico riferimento alla piattaforma aerea ad ala fissa, così come in Galielo Avionica, occupandomi di avionica per gli elicotteri e di sistemi per Remote Sensing (laser e infrarossi), sia per aeromobile che per satellite (AS2, AS5 ed AS6). In Screen Service sono stati sviluppati anche sistemi DVB-S per le trasmissioni satellitari. Inoltre le reti TLC terrestri (Marconi, Cisco, Simoco) spesso si integrano con i satelliti per assicurare la copertura di aree isolate come avviene per piattaforme aeree e navali. Queste conoscenze sono state utilizzate per l'esecuzione degli incarichi che mi sono stati precedentemente affidati da Finlombarda Spa anche in Ambito Aerospazio, per un totale di 5 progetti (valutazioni ex ante, in itinere, ispettiva) nel periodo 2016-2018. Sono iscritto all'Albo degli esperti scientifici del MIUR per la sezione Ricerca Industriale Competitiva e per lo Sviuppo Sociale. Sono autore dei un brevetto per un "Sistema elettro-ottico per l'ausilio alla navigazione aerea nelle fasi di avvicinamento, atterraggio e rullaggio"</v>
      </c>
      <c r="GW2" s="24" t="str">
        <f>ads2_motivazioni_cs</f>
        <v>Il Master in Business Administration ha sviluppato le conoscenze riguardanti l'avvio, la gestione e lo sviluppo di impresa. Oltre all'insegnamento teorico delle discipline economico-aziendali, i docenti hanno fatto un uso intensivo di case studies, che si chiedeva di analizzare e risolvere partendo da una situazione di crisi aziendale, riguardante una specifica area o l'intera Azienda. Quest'ultima tipologia di crisi è stata sopratutto oggetto degli studi di Strategia, comportando un riposizionamento strategico con forte innovazione del sistema di offerta e dei processi o persino una riconversione delle attività. In questo corso (tre moduli) si sono considerati tutti gli aspetti riguardanti la realtà esterna (mercato, concorrenza, altri stake-holder, norme, fattori macroeconomici, evoluzione sociale e della domanda, mercato dei capitali) ed interna all'Azienda (cultura, know-how, prodotti e processi, organizzazione, disinvestimenti, investimenti, equilibrio economico e finanziario, scelta delle alternative di finanziamento) così da assicurare alla stessa un solido posizionamento competitivo e uno sviluppo equilibrato e sostenibile.</v>
      </c>
      <c r="GX2" s="24" t="str">
        <f>ads2_motivazioni_ep</f>
        <v>L'esperienza professionale precedente al corso MBA, mi ha messo in diretto contatto con situazioni di crisi in area operativa, tecnica, logistica, stimolando, per ruolo, responsabilità ed attitudine personale, l'eleborazione di soluzioni alternative, valutate in relazione ai costi e benefici. Con l'MBA ho acquisito una maggiore capacità di strutturare queste proposte, in ambito aziendale, eleborando ed implementando Project Plan, Business Plan e Piani Industriali, ricevendo incarichi di redifinizione del portafoglio prodotti/riposizionamento strategico da Officine Galileo, Gemtek Systems, Screen Service Spa, e successivamente da altri Clienti, come Polo Navacchio Spa per Dielektric Srl, da Samares Spa, Projest Spa, Basis Group. Come Coach EASME mi sono stati affidati progetti riguardanti l'avvio di imprese finanziate dalla EU (SME Instrument Phase 1 e Phase 2) e per conto di Kobo Funds e in collaborazione anche con ASTER, Regione Toscana - Ufficio Attrazione Investimenti, mi sono occupato della individuazione di start-up innovative, assistendole quindi nelle predisposizione del Business Plan e nella presentazione agli investitori. Marconi Spa mi ha affidato sia programmi di internazionalizzazione (delocalizzazione produttiva in Brasile e Indonesia e accordi con partner industriali locali e gestione joint venture Ericsson-Marconi, prevalentemente rivolta ala Cina) che di riorganizzazione dell'area Sales &amp; Marketing dopo la fusione GPT-Marconi. Per quanto riguarda l'internazionalizzazione, Simoco mi ha incaricato di sviluppare il mercato Sud Europa. Ho raggiunto accordi quadro con Italtel e Ansaldo Trasporti che oltre all'Europa coprivano il Sud America, grazie alla forte presenza delle due Aziende in queste aree. Cisco Systems mi ha incaricato di supportare la forza vendite Nord Europa (nuovo portafoglio prodotti/nuova tecnologia)</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249</vt:i4>
      </vt:variant>
    </vt:vector>
  </HeadingPairs>
  <TitlesOfParts>
    <vt:vector size="256"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ep2_attivita</vt:lpstr>
      <vt:lpstr>ep2_comune</vt:lpstr>
      <vt:lpstr>ep2_denominazione</vt:lpstr>
      <vt:lpstr>ep2_dimensione</vt:lpstr>
      <vt:lpstr>ep2_fine</vt:lpstr>
      <vt:lpstr>ep2_inizio</vt:lpstr>
      <vt:lpstr>ep2_provincia</vt:lpstr>
      <vt:lpstr>ep2_resp</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Angela Punzi Regina</cp:lastModifiedBy>
  <cp:lastPrinted>2015-03-19T11:18:15Z</cp:lastPrinted>
  <dcterms:created xsi:type="dcterms:W3CDTF">2015-03-10T11:30:22Z</dcterms:created>
  <dcterms:modified xsi:type="dcterms:W3CDTF">2020-04-29T16:09:43Z</dcterms:modified>
  <cp:contentStatus>Finale</cp:contentStatus>
</cp:coreProperties>
</file>